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whalfman\Downloads\"/>
    </mc:Choice>
  </mc:AlternateContent>
  <xr:revisionPtr revIDLastSave="0" documentId="13_ncr:1_{FD55C085-EF41-42FD-A6B0-F6A6A73074F3}" xr6:coauthVersionLast="47" xr6:coauthVersionMax="47" xr10:uidLastSave="{00000000-0000-0000-0000-000000000000}"/>
  <bookViews>
    <workbookView xWindow="-120" yWindow="-120" windowWidth="29040" windowHeight="15840" activeTab="1" xr2:uid="{00000000-000D-0000-FFFF-FFFF00000000}"/>
  </bookViews>
  <sheets>
    <sheet name="Directions" sheetId="3" r:id="rId1"/>
    <sheet name="Cow-Calf Budg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2" i="2" l="1"/>
  <c r="G216" i="2" s="1"/>
  <c r="G266" i="2" l="1"/>
  <c r="H266" i="2" s="1"/>
  <c r="D175" i="2" l="1"/>
  <c r="F147" i="2"/>
  <c r="H91" i="2"/>
  <c r="H90" i="2"/>
  <c r="H89" i="2"/>
  <c r="H88" i="2"/>
  <c r="H87" i="2"/>
  <c r="H86" i="2"/>
  <c r="H85" i="2"/>
  <c r="H84" i="2"/>
  <c r="H83" i="2"/>
  <c r="H77" i="2"/>
  <c r="H76" i="2"/>
  <c r="H75" i="2"/>
  <c r="H74" i="2"/>
  <c r="H73" i="2"/>
  <c r="H72" i="2"/>
  <c r="H71" i="2"/>
  <c r="H70" i="2"/>
  <c r="H69" i="2"/>
  <c r="H68" i="2"/>
  <c r="H67" i="2"/>
  <c r="H66" i="2"/>
  <c r="H65" i="2"/>
  <c r="H64" i="2"/>
  <c r="H63" i="2"/>
  <c r="H18" i="2"/>
  <c r="H17" i="2"/>
  <c r="H16" i="2"/>
  <c r="E128" i="2"/>
  <c r="G127" i="2"/>
  <c r="G126" i="2"/>
  <c r="G125" i="2"/>
  <c r="G124" i="2"/>
  <c r="H92" i="2" l="1"/>
  <c r="H216" i="2" s="1"/>
  <c r="G128" i="2"/>
  <c r="G146" i="2"/>
  <c r="H146" i="2" s="1"/>
  <c r="G145" i="2"/>
  <c r="H145" i="2" s="1"/>
  <c r="G144" i="2"/>
  <c r="H144" i="2" s="1"/>
  <c r="G143" i="2"/>
  <c r="H143" i="2" s="1"/>
  <c r="G142" i="2"/>
  <c r="H142" i="2" s="1"/>
  <c r="G141" i="2"/>
  <c r="H141" i="2" s="1"/>
  <c r="G140" i="2"/>
  <c r="H140" i="2" s="1"/>
  <c r="G139" i="2"/>
  <c r="H139" i="2" s="1"/>
  <c r="G138" i="2"/>
  <c r="H138" i="2" s="1"/>
  <c r="G137" i="2"/>
  <c r="H137" i="2" s="1"/>
  <c r="G136" i="2"/>
  <c r="H136" i="2" s="1"/>
  <c r="G135" i="2"/>
  <c r="H135" i="2" s="1"/>
  <c r="G134" i="2"/>
  <c r="H134" i="2" s="1"/>
  <c r="G196" i="2"/>
  <c r="H196" i="2" s="1"/>
  <c r="G195" i="2"/>
  <c r="H195" i="2" s="1"/>
  <c r="G112" i="2"/>
  <c r="H112" i="2" s="1"/>
  <c r="G111" i="2"/>
  <c r="H111" i="2" s="1"/>
  <c r="G110" i="2"/>
  <c r="H110" i="2" s="1"/>
  <c r="G109" i="2"/>
  <c r="H109" i="2" s="1"/>
  <c r="G108" i="2"/>
  <c r="H108" i="2" s="1"/>
  <c r="G107" i="2"/>
  <c r="H107" i="2" s="1"/>
  <c r="G106" i="2"/>
  <c r="H106" i="2" s="1"/>
  <c r="G105" i="2"/>
  <c r="H105" i="2" s="1"/>
  <c r="G104" i="2"/>
  <c r="H104" i="2" s="1"/>
  <c r="G103" i="2"/>
  <c r="H103" i="2" s="1"/>
  <c r="G102" i="2"/>
  <c r="H102" i="2" s="1"/>
  <c r="G101" i="2"/>
  <c r="H101" i="2" s="1"/>
  <c r="G100" i="2"/>
  <c r="H100" i="2" s="1"/>
  <c r="G99" i="2"/>
  <c r="H99" i="2" s="1"/>
  <c r="G98" i="2"/>
  <c r="H98" i="2" s="1"/>
  <c r="G97" i="2"/>
  <c r="H97" i="2" s="1"/>
  <c r="G96" i="2"/>
  <c r="H96" i="2" s="1"/>
  <c r="G58" i="2"/>
  <c r="H58" i="2" s="1"/>
  <c r="G57" i="2"/>
  <c r="H57" i="2" s="1"/>
  <c r="G56" i="2"/>
  <c r="H56" i="2" s="1"/>
  <c r="F129" i="2" l="1"/>
  <c r="G130" i="2"/>
  <c r="H78" i="2"/>
  <c r="H197" i="2"/>
  <c r="H198" i="2" s="1"/>
  <c r="E189" i="2"/>
  <c r="G189" i="2" s="1"/>
  <c r="H189" i="2" s="1"/>
  <c r="E188" i="2"/>
  <c r="G188" i="2" s="1"/>
  <c r="H188" i="2" s="1"/>
  <c r="E187" i="2"/>
  <c r="G187" i="2" s="1"/>
  <c r="H187" i="2" s="1"/>
  <c r="E186" i="2"/>
  <c r="G186" i="2" s="1"/>
  <c r="H186" i="2" s="1"/>
  <c r="E185" i="2"/>
  <c r="G185" i="2" s="1"/>
  <c r="H185" i="2" s="1"/>
  <c r="E184" i="2"/>
  <c r="G184" i="2" s="1"/>
  <c r="H184" i="2" s="1"/>
  <c r="E183" i="2"/>
  <c r="G183" i="2" s="1"/>
  <c r="H183" i="2" s="1"/>
  <c r="E182" i="2"/>
  <c r="G182" i="2" s="1"/>
  <c r="H182" i="2" s="1"/>
  <c r="E181" i="2"/>
  <c r="G181" i="2" s="1"/>
  <c r="H181" i="2" s="1"/>
  <c r="E180" i="2"/>
  <c r="G180" i="2" s="1"/>
  <c r="H180" i="2" s="1"/>
  <c r="E174" i="2"/>
  <c r="G174" i="2" s="1"/>
  <c r="H174" i="2" s="1"/>
  <c r="E173" i="2"/>
  <c r="G173" i="2" s="1"/>
  <c r="H173" i="2" s="1"/>
  <c r="E172" i="2"/>
  <c r="G172" i="2" s="1"/>
  <c r="H172" i="2" s="1"/>
  <c r="E171" i="2"/>
  <c r="G171" i="2" s="1"/>
  <c r="H171" i="2" s="1"/>
  <c r="E170" i="2"/>
  <c r="G170" i="2" s="1"/>
  <c r="H170" i="2" s="1"/>
  <c r="E169" i="2"/>
  <c r="G169" i="2" s="1"/>
  <c r="H169" i="2" s="1"/>
  <c r="E168" i="2"/>
  <c r="G168" i="2" s="1"/>
  <c r="H168" i="2" s="1"/>
  <c r="E167" i="2"/>
  <c r="G167" i="2" s="1"/>
  <c r="H167" i="2" s="1"/>
  <c r="E166" i="2"/>
  <c r="G166" i="2" s="1"/>
  <c r="H166" i="2" s="1"/>
  <c r="E165" i="2"/>
  <c r="G165" i="2" s="1"/>
  <c r="H165" i="2" s="1"/>
  <c r="E164" i="2"/>
  <c r="G164" i="2" s="1"/>
  <c r="H164" i="2" s="1"/>
  <c r="E163" i="2"/>
  <c r="G163" i="2" s="1"/>
  <c r="H163" i="2" s="1"/>
  <c r="E162" i="2"/>
  <c r="G162" i="2" s="1"/>
  <c r="H162" i="2" s="1"/>
  <c r="E161" i="2"/>
  <c r="G161" i="2" s="1"/>
  <c r="H161" i="2" s="1"/>
  <c r="E160" i="2"/>
  <c r="G160" i="2" s="1"/>
  <c r="H160" i="2" s="1"/>
  <c r="E159" i="2"/>
  <c r="G159" i="2" s="1"/>
  <c r="H159" i="2" s="1"/>
  <c r="E158" i="2"/>
  <c r="G158" i="2" s="1"/>
  <c r="H158" i="2" s="1"/>
  <c r="E157" i="2"/>
  <c r="G157" i="2" s="1"/>
  <c r="H157" i="2" s="1"/>
  <c r="E156" i="2"/>
  <c r="G156" i="2" s="1"/>
  <c r="H156" i="2" s="1"/>
  <c r="H130" i="2" l="1"/>
  <c r="G197" i="2"/>
  <c r="G265" i="2"/>
  <c r="H265" i="2" s="1"/>
  <c r="G264" i="2"/>
  <c r="H264" i="2" s="1"/>
  <c r="G224" i="2" l="1"/>
  <c r="G198" i="2"/>
  <c r="H224" i="2"/>
  <c r="G202" i="2" l="1"/>
  <c r="H202" i="2" l="1"/>
  <c r="H235" i="2" s="1"/>
  <c r="G235" i="2"/>
  <c r="B190" i="2"/>
  <c r="G191" i="2" s="1"/>
  <c r="H191" i="2" s="1"/>
  <c r="B175" i="2"/>
  <c r="G176" i="2" s="1"/>
  <c r="H176" i="2" s="1"/>
  <c r="D147" i="2"/>
  <c r="G148" i="2" s="1"/>
  <c r="H148" i="2" l="1"/>
  <c r="H228" i="2" s="1"/>
  <c r="G228" i="2"/>
  <c r="F14" i="2"/>
  <c r="F15" i="2"/>
  <c r="G15" i="2" s="1"/>
  <c r="H15" i="2" s="1"/>
  <c r="G26" i="2"/>
  <c r="G27" i="2"/>
  <c r="H27" i="2" s="1"/>
  <c r="G28" i="2"/>
  <c r="H28" i="2" s="1"/>
  <c r="G29" i="2"/>
  <c r="H29" i="2" s="1"/>
  <c r="G30" i="2"/>
  <c r="H30" i="2" s="1"/>
  <c r="G31" i="2"/>
  <c r="H31" i="2" s="1"/>
  <c r="G32" i="2"/>
  <c r="H32" i="2" s="1"/>
  <c r="G33" i="2"/>
  <c r="H33" i="2" s="1"/>
  <c r="G34" i="2"/>
  <c r="H34" i="2" s="1"/>
  <c r="G35" i="2"/>
  <c r="H35" i="2" s="1"/>
  <c r="G40" i="2"/>
  <c r="H40" i="2" s="1"/>
  <c r="G41" i="2"/>
  <c r="H41" i="2" s="1"/>
  <c r="G42" i="2"/>
  <c r="H42" i="2" s="1"/>
  <c r="G43" i="2"/>
  <c r="H43" i="2" s="1"/>
  <c r="G44" i="2"/>
  <c r="H44" i="2" s="1"/>
  <c r="G45" i="2"/>
  <c r="H45" i="2" s="1"/>
  <c r="G46" i="2"/>
  <c r="H46" i="2" s="1"/>
  <c r="G47" i="2"/>
  <c r="H47" i="2" s="1"/>
  <c r="G48" i="2"/>
  <c r="H48" i="2" s="1"/>
  <c r="G49" i="2"/>
  <c r="H49" i="2" s="1"/>
  <c r="G54" i="2"/>
  <c r="H54" i="2" s="1"/>
  <c r="G55" i="2"/>
  <c r="H55" i="2" s="1"/>
  <c r="G207" i="2"/>
  <c r="H207" i="2" s="1"/>
  <c r="G208" i="2"/>
  <c r="H208" i="2" s="1"/>
  <c r="G78" i="2"/>
  <c r="G215" i="2" s="1"/>
  <c r="H26" i="2" l="1"/>
  <c r="H36" i="2" s="1"/>
  <c r="H233" i="2" s="1"/>
  <c r="G36" i="2"/>
  <c r="G233" i="2" s="1"/>
  <c r="H59" i="2"/>
  <c r="H214" i="2" s="1"/>
  <c r="H50" i="2"/>
  <c r="H234" i="2" s="1"/>
  <c r="H113" i="2"/>
  <c r="G175" i="2"/>
  <c r="G226" i="2" s="1"/>
  <c r="G190" i="2"/>
  <c r="G227" i="2" s="1"/>
  <c r="G113" i="2"/>
  <c r="G59" i="2"/>
  <c r="G214" i="2" s="1"/>
  <c r="I12" i="2"/>
  <c r="G14" i="2"/>
  <c r="H14" i="2" s="1"/>
  <c r="G50" i="2"/>
  <c r="H215" i="2"/>
  <c r="G147" i="2"/>
  <c r="H236" i="2" l="1"/>
  <c r="G213" i="2"/>
  <c r="G234" i="2"/>
  <c r="G236" i="2" s="1"/>
  <c r="G116" i="2"/>
  <c r="H212" i="2"/>
  <c r="H116" i="2"/>
  <c r="I264" i="2"/>
  <c r="I191" i="2"/>
  <c r="I266" i="2"/>
  <c r="I176" i="2"/>
  <c r="I148" i="2"/>
  <c r="I265" i="2"/>
  <c r="I130" i="2"/>
  <c r="G217" i="2"/>
  <c r="H217" i="2"/>
  <c r="G206" i="2"/>
  <c r="H206" i="2" s="1"/>
  <c r="H19" i="2"/>
  <c r="I186" i="2"/>
  <c r="I165" i="2"/>
  <c r="I172" i="2"/>
  <c r="I164" i="2"/>
  <c r="I160" i="2"/>
  <c r="I156" i="2"/>
  <c r="I146" i="2"/>
  <c r="I142" i="2"/>
  <c r="I137" i="2"/>
  <c r="I182" i="2"/>
  <c r="I159" i="2"/>
  <c r="I145" i="2"/>
  <c r="I140" i="2"/>
  <c r="I136" i="2"/>
  <c r="I181" i="2"/>
  <c r="I173" i="2"/>
  <c r="I168" i="2"/>
  <c r="I162" i="2"/>
  <c r="I144" i="2"/>
  <c r="I139" i="2"/>
  <c r="I135" i="2"/>
  <c r="I169" i="2"/>
  <c r="I161" i="2"/>
  <c r="I157" i="2"/>
  <c r="I143" i="2"/>
  <c r="I138" i="2"/>
  <c r="I134" i="2"/>
  <c r="I188" i="2"/>
  <c r="I185" i="2"/>
  <c r="I166" i="2"/>
  <c r="I174" i="2"/>
  <c r="I158" i="2"/>
  <c r="I189" i="2"/>
  <c r="I167" i="2"/>
  <c r="I171" i="2"/>
  <c r="I141" i="2"/>
  <c r="I187" i="2"/>
  <c r="I163" i="2"/>
  <c r="I180" i="2"/>
  <c r="I184" i="2"/>
  <c r="I170" i="2"/>
  <c r="I183" i="2"/>
  <c r="I33" i="2"/>
  <c r="G225" i="2"/>
  <c r="G229" i="2" s="1"/>
  <c r="I195" i="2"/>
  <c r="I108" i="2"/>
  <c r="I110" i="2"/>
  <c r="I196" i="2"/>
  <c r="I109" i="2"/>
  <c r="I111" i="2"/>
  <c r="I112" i="2"/>
  <c r="I107" i="2"/>
  <c r="I72" i="2"/>
  <c r="I70" i="2"/>
  <c r="I73" i="2"/>
  <c r="I71" i="2"/>
  <c r="I74" i="2"/>
  <c r="I54" i="2"/>
  <c r="I202" i="2"/>
  <c r="H175" i="2"/>
  <c r="H226" i="2" s="1"/>
  <c r="I68" i="2"/>
  <c r="I41" i="2"/>
  <c r="I15" i="2"/>
  <c r="I16" i="2"/>
  <c r="I31" i="2"/>
  <c r="H190" i="2"/>
  <c r="H227" i="2" s="1"/>
  <c r="I77" i="2"/>
  <c r="H213" i="2"/>
  <c r="I65" i="2"/>
  <c r="I103" i="2"/>
  <c r="I63" i="2"/>
  <c r="I106" i="2"/>
  <c r="I55" i="2"/>
  <c r="I76" i="2"/>
  <c r="I67" i="2"/>
  <c r="I44" i="2"/>
  <c r="I98" i="2"/>
  <c r="I83" i="2"/>
  <c r="I91" i="2"/>
  <c r="I42" i="2"/>
  <c r="I208" i="2"/>
  <c r="I96" i="2"/>
  <c r="I89" i="2"/>
  <c r="I26" i="2"/>
  <c r="I85" i="2"/>
  <c r="I48" i="2"/>
  <c r="I40" i="2"/>
  <c r="I29" i="2"/>
  <c r="I102" i="2"/>
  <c r="I88" i="2"/>
  <c r="I64" i="2"/>
  <c r="I90" i="2"/>
  <c r="I87" i="2"/>
  <c r="I57" i="2"/>
  <c r="I101" i="2"/>
  <c r="I69" i="2"/>
  <c r="I46" i="2"/>
  <c r="I35" i="2"/>
  <c r="I27" i="2"/>
  <c r="I105" i="2"/>
  <c r="I100" i="2"/>
  <c r="I84" i="2"/>
  <c r="I58" i="2"/>
  <c r="I30" i="2"/>
  <c r="I97" i="2"/>
  <c r="I34" i="2"/>
  <c r="I47" i="2"/>
  <c r="G19" i="2"/>
  <c r="I14" i="2"/>
  <c r="I17" i="2"/>
  <c r="I75" i="2"/>
  <c r="I104" i="2"/>
  <c r="I28" i="2"/>
  <c r="I45" i="2"/>
  <c r="I86" i="2"/>
  <c r="I207" i="2"/>
  <c r="I32" i="2"/>
  <c r="I18" i="2"/>
  <c r="I49" i="2"/>
  <c r="I56" i="2"/>
  <c r="I99" i="2"/>
  <c r="I66" i="2"/>
  <c r="I43" i="2"/>
  <c r="G117" i="2"/>
  <c r="G218" i="2" s="1"/>
  <c r="G212" i="2"/>
  <c r="H147" i="2"/>
  <c r="H237" i="2" l="1"/>
  <c r="I206" i="2"/>
  <c r="G219" i="2"/>
  <c r="H225" i="2"/>
  <c r="H229" i="2" s="1"/>
  <c r="I197" i="2"/>
  <c r="I175" i="2"/>
  <c r="I147" i="2"/>
  <c r="I78" i="2"/>
  <c r="I215" i="2" s="1"/>
  <c r="I59" i="2"/>
  <c r="I214" i="2" s="1"/>
  <c r="I113" i="2"/>
  <c r="I50" i="2"/>
  <c r="I92" i="2"/>
  <c r="I216" i="2" s="1"/>
  <c r="I190" i="2"/>
  <c r="I227" i="2" s="1"/>
  <c r="I19" i="2"/>
  <c r="G209" i="2"/>
  <c r="G232" i="2" s="1"/>
  <c r="G237" i="2" s="1"/>
  <c r="H209" i="2"/>
  <c r="H232" i="2" s="1"/>
  <c r="I36" i="2" l="1"/>
  <c r="I233" i="2" s="1"/>
  <c r="I235" i="2"/>
  <c r="I213" i="2"/>
  <c r="I234" i="2"/>
  <c r="I116" i="2"/>
  <c r="H117" i="2"/>
  <c r="H218" i="2" s="1"/>
  <c r="H219" i="2" s="1"/>
  <c r="G268" i="2"/>
  <c r="I224" i="2"/>
  <c r="I198" i="2"/>
  <c r="I228" i="2" s="1"/>
  <c r="I217" i="2"/>
  <c r="I225" i="2"/>
  <c r="G221" i="2"/>
  <c r="G243" i="2" s="1"/>
  <c r="I226" i="2"/>
  <c r="I209" i="2"/>
  <c r="I232" i="2" s="1"/>
  <c r="I236" i="2" l="1"/>
  <c r="I237" i="2"/>
  <c r="B281" i="2"/>
  <c r="B255" i="2"/>
  <c r="H270" i="2"/>
  <c r="H268" i="2"/>
  <c r="H221" i="2"/>
  <c r="H243" i="2" s="1"/>
  <c r="H245" i="2"/>
  <c r="I229" i="2"/>
  <c r="I212" i="2"/>
  <c r="B282" i="2" l="1"/>
  <c r="I117" i="2"/>
  <c r="I218" i="2" s="1"/>
  <c r="I219" i="2" s="1"/>
  <c r="B280" i="2" l="1"/>
  <c r="I270" i="2"/>
  <c r="I272" i="2" s="1"/>
  <c r="F277" i="2" s="1"/>
  <c r="F281" i="2" s="1"/>
  <c r="I268" i="2"/>
  <c r="I221" i="2"/>
  <c r="I243" i="2" s="1"/>
  <c r="B284" i="2"/>
  <c r="B278" i="2"/>
  <c r="B283" i="2"/>
  <c r="I247" i="2"/>
  <c r="F251" i="2" s="1"/>
  <c r="I245" i="2"/>
  <c r="B279" i="2"/>
  <c r="B258" i="2"/>
  <c r="B253" i="2"/>
  <c r="B256" i="2"/>
  <c r="B257" i="2"/>
  <c r="B254" i="2"/>
  <c r="B252" i="2"/>
  <c r="F282" i="2" l="1"/>
  <c r="F284" i="2"/>
  <c r="F280" i="2"/>
  <c r="F279" i="2"/>
  <c r="F283" i="2"/>
  <c r="F278" i="2"/>
  <c r="F254" i="2"/>
  <c r="F258" i="2"/>
  <c r="F255" i="2"/>
  <c r="F257" i="2"/>
  <c r="F256" i="2"/>
  <c r="F252" i="2"/>
  <c r="F253" i="2"/>
  <c r="E277" i="2"/>
  <c r="E284" i="2" s="1"/>
  <c r="C277" i="2"/>
  <c r="C283" i="2" s="1"/>
  <c r="D277" i="2"/>
  <c r="D280" i="2" s="1"/>
  <c r="I277" i="2"/>
  <c r="I284" i="2" s="1"/>
  <c r="G277" i="2"/>
  <c r="G283" i="2" s="1"/>
  <c r="H277" i="2"/>
  <c r="G251" i="2"/>
  <c r="D251" i="2"/>
  <c r="H251" i="2"/>
  <c r="C251" i="2"/>
  <c r="E251" i="2"/>
  <c r="I251" i="2"/>
  <c r="I278" i="2" l="1"/>
  <c r="E280" i="2"/>
  <c r="E283" i="2"/>
  <c r="G280" i="2"/>
  <c r="D279" i="2"/>
  <c r="E278" i="2"/>
  <c r="D284" i="2"/>
  <c r="H281" i="2"/>
  <c r="H282" i="2"/>
  <c r="G281" i="2"/>
  <c r="G282" i="2"/>
  <c r="H284" i="2"/>
  <c r="G278" i="2"/>
  <c r="G284" i="2"/>
  <c r="H278" i="2"/>
  <c r="D281" i="2"/>
  <c r="D282" i="2"/>
  <c r="I279" i="2"/>
  <c r="C281" i="2"/>
  <c r="C282" i="2"/>
  <c r="C279" i="2"/>
  <c r="E281" i="2"/>
  <c r="E282" i="2"/>
  <c r="E279" i="2"/>
  <c r="D278" i="2"/>
  <c r="H283" i="2"/>
  <c r="H279" i="2"/>
  <c r="C280" i="2"/>
  <c r="I281" i="2"/>
  <c r="I282" i="2"/>
  <c r="I280" i="2"/>
  <c r="I283" i="2"/>
  <c r="C278" i="2"/>
  <c r="D283" i="2"/>
  <c r="G279" i="2"/>
  <c r="H280" i="2"/>
  <c r="C284" i="2"/>
  <c r="H253" i="2"/>
  <c r="H252" i="2"/>
  <c r="H257" i="2"/>
  <c r="H256" i="2"/>
  <c r="H258" i="2"/>
  <c r="H255" i="2"/>
  <c r="H254" i="2"/>
  <c r="G252" i="2"/>
  <c r="G255" i="2"/>
  <c r="G258" i="2"/>
  <c r="G256" i="2"/>
  <c r="G257" i="2"/>
  <c r="G254" i="2"/>
  <c r="G253" i="2"/>
  <c r="D257" i="2"/>
  <c r="D256" i="2"/>
  <c r="D254" i="2"/>
  <c r="D255" i="2"/>
  <c r="D253" i="2"/>
  <c r="D252" i="2"/>
  <c r="D258" i="2"/>
  <c r="I254" i="2"/>
  <c r="I253" i="2"/>
  <c r="I252" i="2"/>
  <c r="I258" i="2"/>
  <c r="I257" i="2"/>
  <c r="I256" i="2"/>
  <c r="I255" i="2"/>
  <c r="C254" i="2"/>
  <c r="C253" i="2"/>
  <c r="C252" i="2"/>
  <c r="C255" i="2"/>
  <c r="C258" i="2"/>
  <c r="C257" i="2"/>
  <c r="C256" i="2"/>
  <c r="E254" i="2"/>
  <c r="E258" i="2"/>
  <c r="E253" i="2"/>
  <c r="E257" i="2"/>
  <c r="E255" i="2"/>
  <c r="E256" i="2"/>
  <c r="E252" i="2"/>
</calcChain>
</file>

<file path=xl/sharedStrings.xml><?xml version="1.0" encoding="utf-8"?>
<sst xmlns="http://schemas.openxmlformats.org/spreadsheetml/2006/main" count="268" uniqueCount="204">
  <si>
    <t>Enter values in blue boxes, yellow, pink and tan boxes are calculated numbers.</t>
  </si>
  <si>
    <t>cwts of calf sold</t>
  </si>
  <si>
    <t xml:space="preserve">Item </t>
  </si>
  <si>
    <t>Head</t>
  </si>
  <si>
    <t>Weight in cwts</t>
  </si>
  <si>
    <t>Unit</t>
  </si>
  <si>
    <t>Price/ cwt</t>
  </si>
  <si>
    <t>Total cwt sold</t>
  </si>
  <si>
    <t>Total $ income</t>
  </si>
  <si>
    <t>Per Cow</t>
  </si>
  <si>
    <t>Per cwt of calf sold</t>
  </si>
  <si>
    <t>Feeder steers</t>
  </si>
  <si>
    <t>cwt</t>
  </si>
  <si>
    <t>Feeder heifers</t>
  </si>
  <si>
    <t>Cull cows &amp; heifers</t>
  </si>
  <si>
    <t>Cull bulls</t>
  </si>
  <si>
    <t>Total Gross Revenue</t>
  </si>
  <si>
    <t>Expenses</t>
  </si>
  <si>
    <t>Home Grown Feed</t>
  </si>
  <si>
    <t>Feed stuff</t>
  </si>
  <si>
    <t>Quantity used</t>
  </si>
  <si>
    <t>Total Cost</t>
  </si>
  <si>
    <t>Good hay</t>
  </si>
  <si>
    <t>tons</t>
  </si>
  <si>
    <t>Medium hay</t>
  </si>
  <si>
    <t>Cow hay</t>
  </si>
  <si>
    <t>Shell corn</t>
  </si>
  <si>
    <t>bu.</t>
  </si>
  <si>
    <t>Oats</t>
  </si>
  <si>
    <t>Total Home Grown Feed</t>
  </si>
  <si>
    <t>Purchased Feed</t>
  </si>
  <si>
    <t>Cost per unit</t>
  </si>
  <si>
    <t>Mineral</t>
  </si>
  <si>
    <t>Weaning pellets</t>
  </si>
  <si>
    <t>Trace mineral salt blocks</t>
  </si>
  <si>
    <t>blocks</t>
  </si>
  <si>
    <t>Total Purchased Feed</t>
  </si>
  <si>
    <t>Bedding</t>
  </si>
  <si>
    <t>Material</t>
  </si>
  <si>
    <t>Per cwt of calf sold</t>
  </si>
  <si>
    <t>Corn stalks</t>
  </si>
  <si>
    <t>Wood shavings</t>
  </si>
  <si>
    <t>Total Bedding</t>
  </si>
  <si>
    <t>Vet, Med &amp; Breeding</t>
  </si>
  <si>
    <t>Item</t>
  </si>
  <si>
    <t>Total Annual Cost</t>
  </si>
  <si>
    <t>Vaccines- calves</t>
  </si>
  <si>
    <t>Vaccines- cows</t>
  </si>
  <si>
    <t>Dewormer</t>
  </si>
  <si>
    <t>Semen &amp; AI Fees</t>
  </si>
  <si>
    <t>Vet bill</t>
  </si>
  <si>
    <t>Ear tags</t>
  </si>
  <si>
    <t xml:space="preserve">Total </t>
  </si>
  <si>
    <t>Pasture Expenses</t>
  </si>
  <si>
    <t>Seed</t>
  </si>
  <si>
    <t>Fertilizer</t>
  </si>
  <si>
    <t>Limestone</t>
  </si>
  <si>
    <t>Herbicide</t>
  </si>
  <si>
    <t>Pasture rent</t>
  </si>
  <si>
    <t>Total Pasture Expenses</t>
  </si>
  <si>
    <t>Year bought</t>
  </si>
  <si>
    <t xml:space="preserve">Purchase Price </t>
  </si>
  <si>
    <t>Years intend to keep</t>
  </si>
  <si>
    <t>Annual Pro-rated Cost</t>
  </si>
  <si>
    <t>Tank</t>
  </si>
  <si>
    <t>Heat seeker</t>
  </si>
  <si>
    <t>Total</t>
  </si>
  <si>
    <t>Current Market Value</t>
  </si>
  <si>
    <t>Years of useful life left before replacement</t>
  </si>
  <si>
    <t>Estimated Salvage/ Trade in Value</t>
  </si>
  <si>
    <t>Annual Depreciation Expense</t>
  </si>
  <si>
    <t>Estimated % allocated to cow calf enterprise</t>
  </si>
  <si>
    <t>Annual cost to cow- calf enterprise</t>
  </si>
  <si>
    <t>Manure spreader</t>
  </si>
  <si>
    <t>Loader tractor</t>
  </si>
  <si>
    <t>Skid steer</t>
  </si>
  <si>
    <t>1 ton dually</t>
  </si>
  <si>
    <t>Cattle trailer</t>
  </si>
  <si>
    <t>Squeeze chute</t>
  </si>
  <si>
    <t>Bale feeders (12)</t>
  </si>
  <si>
    <t>Annual depreciation expense</t>
  </si>
  <si>
    <t>Estimated % allocated to cow-calf enterprise</t>
  </si>
  <si>
    <t>Annual expense to cow-calf operation</t>
  </si>
  <si>
    <t>Hay shed</t>
  </si>
  <si>
    <t>Winter shed</t>
  </si>
  <si>
    <t>Machine shed</t>
  </si>
  <si>
    <t>Related Expenses</t>
  </si>
  <si>
    <t>% Allocated to cow- calf</t>
  </si>
  <si>
    <t>Annual expense to cow-calf</t>
  </si>
  <si>
    <t>Custom Hire</t>
  </si>
  <si>
    <t>Paid / Hired Labor</t>
  </si>
  <si>
    <t>Fuel &amp; Oil</t>
  </si>
  <si>
    <t>Utilities</t>
  </si>
  <si>
    <t>Machinery Repair</t>
  </si>
  <si>
    <t>Facility &amp; Building Repair</t>
  </si>
  <si>
    <t>Real Estate and Personal Property Taxes</t>
  </si>
  <si>
    <t>Farm Insurance</t>
  </si>
  <si>
    <t>Dues and Professional Fees</t>
  </si>
  <si>
    <t>Permits and Certification</t>
  </si>
  <si>
    <t>Advertising</t>
  </si>
  <si>
    <t>Machinery Leases</t>
  </si>
  <si>
    <t>Building Leases</t>
  </si>
  <si>
    <t>Miscellaneous</t>
  </si>
  <si>
    <t>Summary</t>
  </si>
  <si>
    <t>Machinery</t>
  </si>
  <si>
    <t>Buildings</t>
  </si>
  <si>
    <t>Income</t>
  </si>
  <si>
    <t>Feeder Sales</t>
  </si>
  <si>
    <t>Cull Sales</t>
  </si>
  <si>
    <t xml:space="preserve">Other Livestock Sales </t>
  </si>
  <si>
    <t>Market Value per unit</t>
  </si>
  <si>
    <t>% Allocated to Cow Calf</t>
  </si>
  <si>
    <t>Revenue</t>
  </si>
  <si>
    <t>Rufus</t>
  </si>
  <si>
    <t>Description</t>
  </si>
  <si>
    <t>bull</t>
  </si>
  <si>
    <t>6 bred heifers</t>
  </si>
  <si>
    <t>female</t>
  </si>
  <si>
    <t>Sensitivity Analysis of Feed Cost and Feeder Calf Prices, results shown on a per cwt of feeder calf  price difference in profit or loss</t>
  </si>
  <si>
    <t>Subtotal</t>
  </si>
  <si>
    <t>Opportunity Cost for owned Pasture</t>
  </si>
  <si>
    <t>Other Livestock Sales</t>
  </si>
  <si>
    <t xml:space="preserve">Breakeven feeder sale price less cull and other sales </t>
  </si>
  <si>
    <t>Enterprise Budget Method</t>
  </si>
  <si>
    <t>Returns and Breakevens</t>
  </si>
  <si>
    <t xml:space="preserve">Return to Unpaid Labor and Management </t>
  </si>
  <si>
    <t xml:space="preserve">Breakeven feeder sale price less cull and other sales with zero return to unpaid labor and management </t>
  </si>
  <si>
    <t xml:space="preserve">Cash Flow Method </t>
  </si>
  <si>
    <t>Breakeven (total income per cow and per cwt of calf sold including cull and other revenue)</t>
  </si>
  <si>
    <t>Return to Unpaid Labor, Management and Capital</t>
  </si>
  <si>
    <t>Breakeven (total income per cow and per cwt of calf  sold including cull and other revenue)</t>
  </si>
  <si>
    <t>Sensitivity Analysis on Enterprise Budget Method</t>
  </si>
  <si>
    <t>Sensitivity Analysis on Cash Flow Budget Method</t>
  </si>
  <si>
    <t>Principal and Interest Payments on Intermediate Term Loans</t>
  </si>
  <si>
    <t>Principal and Interest Payments on Long Term Loans</t>
  </si>
  <si>
    <t xml:space="preserve">Annual Amount </t>
  </si>
  <si>
    <r>
      <rPr>
        <sz val="14"/>
        <color rgb="FF000000"/>
        <rFont val="Calibri"/>
        <family val="2"/>
      </rPr>
      <t>Pro-rated annual purchased breeding livestock</t>
    </r>
    <r>
      <rPr>
        <b/>
        <sz val="14"/>
        <color rgb="FF000000"/>
        <rFont val="Calibri"/>
        <family val="2"/>
      </rPr>
      <t xml:space="preserve"> </t>
    </r>
  </si>
  <si>
    <t>Related Overhead Expenses (property taxes, insurance etc.)</t>
  </si>
  <si>
    <t>Total Direct Expenses</t>
  </si>
  <si>
    <t>Overhead Expenses</t>
  </si>
  <si>
    <r>
      <t xml:space="preserve">Return Over Direct Expenses </t>
    </r>
    <r>
      <rPr>
        <sz val="14"/>
        <color rgb="FF000000"/>
        <rFont val="Calibri"/>
        <family val="2"/>
      </rPr>
      <t>(return to labor,management and capital)</t>
    </r>
  </si>
  <si>
    <t>Total Overhead Expenses</t>
  </si>
  <si>
    <t>Direct Expenses</t>
  </si>
  <si>
    <t>$ value per unit*</t>
  </si>
  <si>
    <t>Cull/ Salvage Price</t>
  </si>
  <si>
    <t>Other Direct Expenses</t>
  </si>
  <si>
    <t>Other Overhead Expenses</t>
  </si>
  <si>
    <t>Total Annual Other Overhead Expenses for Cow-Calf Enterprise</t>
  </si>
  <si>
    <t>Number of head</t>
  </si>
  <si>
    <t>Value per head</t>
  </si>
  <si>
    <t>Cows 6th plus calf</t>
  </si>
  <si>
    <t>Average Cow Value</t>
  </si>
  <si>
    <t>Totals</t>
  </si>
  <si>
    <t>Number of Cows and Heifers (purchased and home raised) that calved for this enterprise analysis</t>
  </si>
  <si>
    <t>Interest rate</t>
  </si>
  <si>
    <t>Overhead Costs</t>
  </si>
  <si>
    <t>Annual Value</t>
  </si>
  <si>
    <t>Opportunity Cost of Purchased Livestock</t>
  </si>
  <si>
    <t>Years of useful life left</t>
  </si>
  <si>
    <t>Opportunity Cost on Owned Pasture</t>
  </si>
  <si>
    <t>Opportunity Cost of Machinery</t>
  </si>
  <si>
    <t>Opportunity Cost of Home Raised Cows</t>
  </si>
  <si>
    <t>Machinery &amp; Equipment Overhead Cost</t>
  </si>
  <si>
    <t>Buildings and Facility Overhead Cost</t>
  </si>
  <si>
    <t>Total Other Annual Direct Expenses for Cow-Calf Enterprise</t>
  </si>
  <si>
    <t>Direct Expenses Summary and Opportunity Costs for Direct Expenses</t>
  </si>
  <si>
    <t>Interest Payments on Operating Loan</t>
  </si>
  <si>
    <t>Opportunity Cost of Buildings and Facilities</t>
  </si>
  <si>
    <t>Interest Rate</t>
  </si>
  <si>
    <t>Opportunity Cost of Other Overhead Expenses</t>
  </si>
  <si>
    <t>Opportunity Cost of Direct Expenses</t>
  </si>
  <si>
    <t>Opportunity Cost on All Overhead Expenses</t>
  </si>
  <si>
    <t>Sex</t>
  </si>
  <si>
    <t>Acres</t>
  </si>
  <si>
    <t>$ Value/acre</t>
  </si>
  <si>
    <t>% Int. Rate</t>
  </si>
  <si>
    <t xml:space="preserve"> Current Value</t>
  </si>
  <si>
    <t>Cows you intend to cull after this budget cycle (last time they calve)</t>
  </si>
  <si>
    <t xml:space="preserve">Home Raised Cows and Springing Heifers * </t>
  </si>
  <si>
    <t>Purchased Breeding Stock</t>
  </si>
  <si>
    <t>Cows 2nd through 5th calf</t>
  </si>
  <si>
    <t>First calf heifers</t>
  </si>
  <si>
    <t>Expenses include: annual overhead costs, cash expenses, all opportunity costs. It does not include: intermediate and long term debt principal payments.</t>
  </si>
  <si>
    <t xml:space="preserve">Does NOT include annual overhead costs of buildings and equipment  or opportunity costs. </t>
  </si>
  <si>
    <t xml:space="preserve">Expenses include: cash expenses, cost of home grown feed, taxes, insurance, principal and interest payments . </t>
  </si>
  <si>
    <t>Opportunity Cost of Direct Expenses *</t>
  </si>
  <si>
    <t>* assumes an average expense time of 6 months for direct expenses for opportunity cost calculation</t>
  </si>
  <si>
    <t>Directions for this spreadsheet can be found on the Directions Tab at the bottom of the this spreadsheet</t>
  </si>
  <si>
    <t>There are also helpful hints in yellow boxes throughout this spreadsheet</t>
  </si>
  <si>
    <t>Spreadsheet developed by: Bill Halfman, Kory Stalsberg (former UW Extension), Ryan Sterry, Carl Duley, Dr. Brenda Boetel</t>
  </si>
  <si>
    <t>UW Extension Agriculture Agents in Monroe, Grant/ Lafayette, St. Croix, and Buffalo Counites, UW Extension Livestock Economist</t>
  </si>
  <si>
    <t>Reviewed by: , Dr. Gregg Hadley, Ag Economics Department, Kansas State Univeristy,  Dr. Kevin Bernhardt, UW Extension Ag Economist</t>
  </si>
  <si>
    <t xml:space="preserve">Amanda Cauffman, UW Extension-Grant County, Carolyn Ihde, UW Extension-Crawford/ Richland County </t>
  </si>
  <si>
    <t>Income Over Feed Costs</t>
  </si>
  <si>
    <t>Gross Revenue</t>
  </si>
  <si>
    <t>Homegrown harvested feed</t>
  </si>
  <si>
    <t>Total pasture costs</t>
  </si>
  <si>
    <t>(Row 91 + Row 201)</t>
  </si>
  <si>
    <t>Total feed costs</t>
  </si>
  <si>
    <t>Income over feed costs</t>
  </si>
  <si>
    <t>*each cow should only be entered on one line below, only enter home raised cows in this section.</t>
  </si>
  <si>
    <t>UW Extension Cow-Calf Operation Enterprise Budget version 2.11</t>
  </si>
  <si>
    <t>Pasture maintenance expenses that are routinely done every 2 to 3 years can be pro-rated to represent the annual share of that cost</t>
  </si>
  <si>
    <t>updated 1-15-25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</si>
</sst>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
  </numFmts>
  <fonts count="19" x14ac:knownFonts="1">
    <font>
      <sz val="11"/>
      <color rgb="FF000000"/>
      <name val="Calibri"/>
    </font>
    <font>
      <b/>
      <sz val="14"/>
      <color rgb="FF000000"/>
      <name val="Calibri"/>
    </font>
    <font>
      <sz val="14"/>
      <color rgb="FF000000"/>
      <name val="Calibri"/>
    </font>
    <font>
      <sz val="14"/>
      <name val="Calibri"/>
    </font>
    <font>
      <sz val="14"/>
      <color rgb="FF000000"/>
      <name val="Calibri"/>
      <family val="2"/>
    </font>
    <font>
      <b/>
      <sz val="14"/>
      <color rgb="FF000000"/>
      <name val="Calibri"/>
      <family val="2"/>
    </font>
    <font>
      <b/>
      <sz val="11"/>
      <color rgb="FF000000"/>
      <name val="Calibri"/>
      <family val="2"/>
    </font>
    <font>
      <sz val="16"/>
      <color rgb="FF000000"/>
      <name val="Calibri"/>
      <family val="2"/>
    </font>
    <font>
      <sz val="12"/>
      <color rgb="FF000000"/>
      <name val="Calibri"/>
      <family val="2"/>
    </font>
    <font>
      <i/>
      <sz val="14"/>
      <color rgb="FF000000"/>
      <name val="Calibri"/>
      <family val="2"/>
    </font>
    <font>
      <b/>
      <sz val="14"/>
      <name val="Calibri"/>
      <family val="2"/>
    </font>
    <font>
      <sz val="11"/>
      <color rgb="FF000000"/>
      <name val="Calibri"/>
      <family val="2"/>
    </font>
    <font>
      <sz val="14"/>
      <name val="Calibri"/>
      <family val="2"/>
    </font>
    <font>
      <b/>
      <sz val="14"/>
      <color theme="0"/>
      <name val="Calibri"/>
      <family val="2"/>
    </font>
    <font>
      <sz val="14"/>
      <color theme="0"/>
      <name val="Calibri"/>
      <family val="2"/>
    </font>
    <font>
      <i/>
      <sz val="11"/>
      <color rgb="FF000000"/>
      <name val="Calibri"/>
      <family val="2"/>
    </font>
    <font>
      <strike/>
      <sz val="14"/>
      <color rgb="FF000000"/>
      <name val="Calibri"/>
      <family val="2"/>
    </font>
    <font>
      <sz val="14"/>
      <color theme="1"/>
      <name val="Calibri"/>
      <family val="2"/>
    </font>
    <font>
      <b/>
      <sz val="14"/>
      <color theme="1"/>
      <name val="Calibri"/>
      <family val="2"/>
    </font>
  </fonts>
  <fills count="22">
    <fill>
      <patternFill patternType="none"/>
    </fill>
    <fill>
      <patternFill patternType="gray125"/>
    </fill>
    <fill>
      <patternFill patternType="solid">
        <fgColor rgb="FFDEEAF6"/>
        <bgColor rgb="FFDEEAF6"/>
      </patternFill>
    </fill>
    <fill>
      <patternFill patternType="solid">
        <fgColor rgb="FFFEF2CB"/>
        <bgColor rgb="FFFEF2CB"/>
      </patternFill>
    </fill>
    <fill>
      <patternFill patternType="solid">
        <fgColor rgb="FFFFFF99"/>
        <bgColor rgb="FFFFFF99"/>
      </patternFill>
    </fill>
    <fill>
      <patternFill patternType="solid">
        <fgColor rgb="FFFFCCFF"/>
        <bgColor rgb="FFFFCCFF"/>
      </patternFill>
    </fill>
    <fill>
      <patternFill patternType="solid">
        <fgColor theme="7" tint="0.79998168889431442"/>
        <bgColor indexed="64"/>
      </patternFill>
    </fill>
    <fill>
      <patternFill patternType="solid">
        <fgColor rgb="FFFFCCFF"/>
        <bgColor indexed="64"/>
      </patternFill>
    </fill>
    <fill>
      <patternFill patternType="solid">
        <fgColor rgb="FFFFFF99"/>
        <bgColor indexed="64"/>
      </patternFill>
    </fill>
    <fill>
      <patternFill patternType="solid">
        <fgColor theme="4" tint="0.79998168889431442"/>
        <bgColor rgb="FFFFFF99"/>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ECCF3"/>
        <bgColor indexed="64"/>
      </patternFill>
    </fill>
    <fill>
      <patternFill patternType="solid">
        <fgColor theme="1"/>
        <bgColor indexed="64"/>
      </patternFill>
    </fill>
    <fill>
      <patternFill patternType="solid">
        <fgColor theme="1"/>
        <bgColor rgb="FFDEEAF6"/>
      </patternFill>
    </fill>
    <fill>
      <patternFill patternType="solid">
        <fgColor theme="1"/>
        <bgColor rgb="FFFFFF99"/>
      </patternFill>
    </fill>
    <fill>
      <patternFill patternType="solid">
        <fgColor theme="1"/>
        <bgColor rgb="FFFFCCFF"/>
      </patternFill>
    </fill>
    <fill>
      <patternFill patternType="solid">
        <fgColor theme="1"/>
        <bgColor rgb="FFFEF2CB"/>
      </patternFill>
    </fill>
    <fill>
      <patternFill patternType="solid">
        <fgColor rgb="FFFFEAD5"/>
        <bgColor indexed="64"/>
      </patternFill>
    </fill>
    <fill>
      <patternFill patternType="solid">
        <fgColor rgb="FFFFE2C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indexed="64"/>
      </bottom>
      <diagonal/>
    </border>
    <border>
      <left/>
      <right/>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32">
    <xf numFmtId="0" fontId="0" fillId="0" borderId="0" xfId="0"/>
    <xf numFmtId="0" fontId="1" fillId="0" borderId="0" xfId="0" applyFont="1"/>
    <xf numFmtId="0" fontId="2" fillId="0" borderId="0" xfId="0" applyFont="1"/>
    <xf numFmtId="0" fontId="2" fillId="0" borderId="1" xfId="0" applyFont="1" applyBorder="1"/>
    <xf numFmtId="0" fontId="2" fillId="3" borderId="2" xfId="0" applyFont="1" applyFill="1" applyBorder="1"/>
    <xf numFmtId="0" fontId="2" fillId="0" borderId="1" xfId="0" applyFont="1" applyBorder="1" applyAlignment="1">
      <alignment horizontal="center"/>
    </xf>
    <xf numFmtId="0" fontId="2" fillId="4" borderId="1" xfId="0" applyFont="1" applyFill="1" applyBorder="1"/>
    <xf numFmtId="0" fontId="1" fillId="0" borderId="0" xfId="0" applyFont="1" applyAlignment="1">
      <alignment wrapText="1"/>
    </xf>
    <xf numFmtId="0" fontId="2" fillId="0" borderId="0" xfId="0" applyFont="1" applyAlignment="1">
      <alignment wrapText="1"/>
    </xf>
    <xf numFmtId="0" fontId="2" fillId="0" borderId="1" xfId="0" applyFont="1" applyBorder="1" applyAlignment="1">
      <alignment wrapText="1"/>
    </xf>
    <xf numFmtId="0" fontId="2" fillId="0" borderId="1" xfId="0" applyFont="1" applyBorder="1" applyAlignment="1">
      <alignment horizontal="center" wrapText="1"/>
    </xf>
    <xf numFmtId="164" fontId="2" fillId="5" borderId="1" xfId="0" applyNumberFormat="1" applyFont="1" applyFill="1" applyBorder="1"/>
    <xf numFmtId="164" fontId="2" fillId="3" borderId="1" xfId="0" applyNumberFormat="1" applyFont="1" applyFill="1" applyBorder="1"/>
    <xf numFmtId="164" fontId="1" fillId="4" borderId="1" xfId="0" applyNumberFormat="1" applyFont="1" applyFill="1" applyBorder="1"/>
    <xf numFmtId="164" fontId="1" fillId="5" borderId="1" xfId="0" applyNumberFormat="1" applyFont="1" applyFill="1" applyBorder="1"/>
    <xf numFmtId="164" fontId="1" fillId="3" borderId="1" xfId="0" applyNumberFormat="1" applyFont="1" applyFill="1" applyBorder="1"/>
    <xf numFmtId="164" fontId="2" fillId="4" borderId="1" xfId="0" applyNumberFormat="1" applyFont="1" applyFill="1" applyBorder="1"/>
    <xf numFmtId="0" fontId="3" fillId="0" borderId="0" xfId="0" applyFont="1" applyAlignment="1">
      <alignment wrapText="1"/>
    </xf>
    <xf numFmtId="0" fontId="3" fillId="0" borderId="3" xfId="0" applyFont="1" applyBorder="1" applyAlignment="1">
      <alignment wrapText="1"/>
    </xf>
    <xf numFmtId="0" fontId="2" fillId="0" borderId="4" xfId="0" applyFont="1" applyBorder="1"/>
    <xf numFmtId="0" fontId="2" fillId="0" borderId="5" xfId="0" applyFont="1" applyBorder="1"/>
    <xf numFmtId="0" fontId="3" fillId="0" borderId="3" xfId="0" applyFont="1" applyBorder="1"/>
    <xf numFmtId="0" fontId="3" fillId="0" borderId="4" xfId="0" applyFont="1" applyBorder="1" applyAlignment="1">
      <alignment wrapText="1"/>
    </xf>
    <xf numFmtId="0" fontId="1" fillId="0" borderId="3" xfId="0" applyFont="1" applyBorder="1"/>
    <xf numFmtId="0" fontId="1" fillId="0" borderId="4" xfId="0" applyFont="1" applyBorder="1"/>
    <xf numFmtId="0" fontId="1" fillId="0" borderId="5" xfId="0" applyFont="1" applyBorder="1"/>
    <xf numFmtId="0" fontId="2" fillId="0" borderId="3" xfId="0" applyFont="1" applyBorder="1" applyAlignment="1">
      <alignment wrapText="1"/>
    </xf>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horizontal="center" wrapText="1"/>
    </xf>
    <xf numFmtId="0" fontId="5" fillId="0" borderId="0" xfId="0" applyFont="1"/>
    <xf numFmtId="164" fontId="1" fillId="0" borderId="0" xfId="0" applyNumberFormat="1" applyFont="1"/>
    <xf numFmtId="164" fontId="1" fillId="4" borderId="7" xfId="0" applyNumberFormat="1" applyFont="1" applyFill="1" applyBorder="1"/>
    <xf numFmtId="164" fontId="1" fillId="5" borderId="7" xfId="0" applyNumberFormat="1" applyFont="1" applyFill="1" applyBorder="1"/>
    <xf numFmtId="164" fontId="1" fillId="3" borderId="7" xfId="0" applyNumberFormat="1" applyFont="1" applyFill="1" applyBorder="1"/>
    <xf numFmtId="164" fontId="2" fillId="8" borderId="6" xfId="0" applyNumberFormat="1" applyFont="1" applyFill="1" applyBorder="1"/>
    <xf numFmtId="164" fontId="2" fillId="7" borderId="6" xfId="0" applyNumberFormat="1" applyFont="1" applyFill="1" applyBorder="1"/>
    <xf numFmtId="164" fontId="2" fillId="6" borderId="6" xfId="0" applyNumberFormat="1" applyFont="1" applyFill="1" applyBorder="1"/>
    <xf numFmtId="0" fontId="4" fillId="0" borderId="4" xfId="0" applyFont="1" applyBorder="1"/>
    <xf numFmtId="0" fontId="2" fillId="0" borderId="8" xfId="0" applyFont="1" applyBorder="1"/>
    <xf numFmtId="164" fontId="5" fillId="6" borderId="6" xfId="0" applyNumberFormat="1" applyFont="1" applyFill="1" applyBorder="1"/>
    <xf numFmtId="164" fontId="2" fillId="0" borderId="4" xfId="0" applyNumberFormat="1" applyFont="1" applyBorder="1"/>
    <xf numFmtId="0" fontId="0" fillId="0" borderId="0" xfId="0" applyAlignment="1">
      <alignment wrapText="1"/>
    </xf>
    <xf numFmtId="164" fontId="1" fillId="8" borderId="6" xfId="0" applyNumberFormat="1" applyFont="1" applyFill="1" applyBorder="1"/>
    <xf numFmtId="164" fontId="1" fillId="7" borderId="6" xfId="0" applyNumberFormat="1" applyFont="1" applyFill="1" applyBorder="1"/>
    <xf numFmtId="164" fontId="1" fillId="6" borderId="6" xfId="0" applyNumberFormat="1" applyFont="1" applyFill="1" applyBorder="1"/>
    <xf numFmtId="0" fontId="5" fillId="0" borderId="0" xfId="0" applyFont="1" applyAlignment="1">
      <alignment wrapText="1"/>
    </xf>
    <xf numFmtId="164" fontId="1" fillId="0" borderId="0" xfId="0" applyNumberFormat="1" applyFont="1" applyAlignment="1">
      <alignment wrapText="1"/>
    </xf>
    <xf numFmtId="0" fontId="6" fillId="0" borderId="0" xfId="0" applyFont="1"/>
    <xf numFmtId="164" fontId="5" fillId="8" borderId="6" xfId="0" applyNumberFormat="1" applyFont="1" applyFill="1" applyBorder="1"/>
    <xf numFmtId="164" fontId="5" fillId="7" borderId="6" xfId="0" applyNumberFormat="1" applyFont="1" applyFill="1" applyBorder="1"/>
    <xf numFmtId="0" fontId="4" fillId="0" borderId="0" xfId="0" applyFont="1" applyAlignment="1">
      <alignment horizontal="center" wrapText="1"/>
    </xf>
    <xf numFmtId="0" fontId="2" fillId="2" borderId="1" xfId="0" applyFont="1" applyFill="1" applyBorder="1" applyProtection="1">
      <protection locked="0"/>
    </xf>
    <xf numFmtId="164" fontId="2" fillId="2" borderId="1" xfId="0" applyNumberFormat="1" applyFont="1" applyFill="1" applyBorder="1" applyProtection="1">
      <protection locked="0"/>
    </xf>
    <xf numFmtId="164" fontId="2" fillId="9" borderId="1" xfId="0" applyNumberFormat="1" applyFont="1" applyFill="1" applyBorder="1" applyProtection="1">
      <protection locked="0"/>
    </xf>
    <xf numFmtId="0" fontId="4" fillId="0" borderId="0" xfId="0" applyFont="1"/>
    <xf numFmtId="0" fontId="2" fillId="0" borderId="6" xfId="0" applyFont="1" applyBorder="1"/>
    <xf numFmtId="164" fontId="5" fillId="0" borderId="6" xfId="0" applyNumberFormat="1" applyFont="1" applyBorder="1"/>
    <xf numFmtId="164" fontId="5" fillId="11" borderId="6" xfId="0" applyNumberFormat="1" applyFont="1" applyFill="1" applyBorder="1"/>
    <xf numFmtId="0" fontId="2" fillId="0" borderId="2" xfId="0" applyFont="1" applyBorder="1"/>
    <xf numFmtId="0" fontId="2" fillId="2" borderId="3" xfId="0" applyFont="1" applyFill="1" applyBorder="1" applyProtection="1">
      <protection locked="0"/>
    </xf>
    <xf numFmtId="0" fontId="2" fillId="10" borderId="6" xfId="0" applyFont="1" applyFill="1" applyBorder="1" applyProtection="1">
      <protection locked="0"/>
    </xf>
    <xf numFmtId="0" fontId="2" fillId="2" borderId="2" xfId="0" applyFont="1" applyFill="1" applyBorder="1" applyProtection="1">
      <protection locked="0"/>
    </xf>
    <xf numFmtId="164" fontId="2" fillId="2" borderId="2" xfId="0" applyNumberFormat="1" applyFont="1" applyFill="1" applyBorder="1" applyProtection="1">
      <protection locked="0"/>
    </xf>
    <xf numFmtId="0" fontId="5" fillId="0" borderId="4" xfId="0" applyFont="1" applyBorder="1" applyProtection="1">
      <protection locked="0"/>
    </xf>
    <xf numFmtId="0" fontId="5" fillId="0" borderId="5" xfId="0" applyFont="1" applyBorder="1" applyProtection="1">
      <protection locked="0"/>
    </xf>
    <xf numFmtId="0" fontId="5" fillId="0" borderId="3" xfId="0" applyFont="1" applyBorder="1" applyProtection="1">
      <protection locked="0"/>
    </xf>
    <xf numFmtId="164" fontId="2" fillId="4" borderId="2" xfId="0" applyNumberFormat="1" applyFont="1" applyFill="1" applyBorder="1"/>
    <xf numFmtId="0" fontId="5" fillId="0" borderId="9" xfId="0" applyFont="1" applyBorder="1"/>
    <xf numFmtId="0" fontId="5" fillId="0" borderId="3" xfId="0" applyFont="1" applyBorder="1"/>
    <xf numFmtId="0" fontId="4" fillId="0" borderId="0" xfId="0" applyFont="1" applyAlignment="1">
      <alignment horizontal="center"/>
    </xf>
    <xf numFmtId="0" fontId="0" fillId="11" borderId="0" xfId="0" applyFill="1"/>
    <xf numFmtId="0" fontId="1" fillId="13" borderId="0" xfId="0" applyFont="1" applyFill="1"/>
    <xf numFmtId="0" fontId="2" fillId="13" borderId="0" xfId="0" applyFont="1" applyFill="1"/>
    <xf numFmtId="8" fontId="1" fillId="4" borderId="1" xfId="0" applyNumberFormat="1" applyFont="1" applyFill="1" applyBorder="1"/>
    <xf numFmtId="8" fontId="1" fillId="5" borderId="1" xfId="0" applyNumberFormat="1" applyFont="1" applyFill="1" applyBorder="1"/>
    <xf numFmtId="8" fontId="1" fillId="3" borderId="1" xfId="0" applyNumberFormat="1" applyFont="1" applyFill="1" applyBorder="1"/>
    <xf numFmtId="8" fontId="5" fillId="8" borderId="6" xfId="0" applyNumberFormat="1" applyFont="1" applyFill="1" applyBorder="1"/>
    <xf numFmtId="8" fontId="5" fillId="7" borderId="6" xfId="0" applyNumberFormat="1" applyFont="1" applyFill="1" applyBorder="1"/>
    <xf numFmtId="8" fontId="5" fillId="6" borderId="6" xfId="0" applyNumberFormat="1" applyFont="1" applyFill="1" applyBorder="1"/>
    <xf numFmtId="8" fontId="2" fillId="12" borderId="6" xfId="0" applyNumberFormat="1" applyFont="1" applyFill="1" applyBorder="1"/>
    <xf numFmtId="0" fontId="6" fillId="11" borderId="0" xfId="0" applyFont="1" applyFill="1"/>
    <xf numFmtId="0" fontId="9" fillId="0" borderId="0" xfId="0" applyFont="1"/>
    <xf numFmtId="10" fontId="5" fillId="0" borderId="6" xfId="0" applyNumberFormat="1" applyFont="1" applyBorder="1"/>
    <xf numFmtId="10" fontId="5" fillId="0" borderId="6" xfId="0" applyNumberFormat="1" applyFont="1" applyBorder="1" applyAlignment="1">
      <alignment horizontal="right"/>
    </xf>
    <xf numFmtId="10" fontId="5" fillId="10" borderId="6" xfId="0" applyNumberFormat="1" applyFont="1" applyFill="1" applyBorder="1" applyAlignment="1" applyProtection="1">
      <alignment horizontal="right"/>
      <protection locked="0"/>
    </xf>
    <xf numFmtId="10" fontId="5" fillId="10" borderId="6" xfId="0" applyNumberFormat="1" applyFont="1" applyFill="1" applyBorder="1" applyProtection="1">
      <protection locked="0"/>
    </xf>
    <xf numFmtId="0" fontId="10" fillId="0" borderId="0" xfId="0" applyFont="1"/>
    <xf numFmtId="0" fontId="5" fillId="13" borderId="0" xfId="0" applyFont="1" applyFill="1"/>
    <xf numFmtId="164" fontId="5" fillId="0" borderId="0" xfId="0" applyNumberFormat="1" applyFont="1"/>
    <xf numFmtId="164" fontId="5" fillId="13" borderId="0" xfId="0" applyNumberFormat="1" applyFont="1" applyFill="1"/>
    <xf numFmtId="0" fontId="0" fillId="13" borderId="0" xfId="0" applyFill="1"/>
    <xf numFmtId="0" fontId="4" fillId="13" borderId="0" xfId="0" applyFont="1" applyFill="1"/>
    <xf numFmtId="0" fontId="11" fillId="13" borderId="0" xfId="0" applyFont="1" applyFill="1"/>
    <xf numFmtId="164" fontId="4" fillId="10" borderId="6" xfId="0" applyNumberFormat="1" applyFont="1" applyFill="1" applyBorder="1" applyProtection="1">
      <protection locked="0"/>
    </xf>
    <xf numFmtId="9" fontId="4" fillId="10" borderId="6" xfId="0" applyNumberFormat="1" applyFont="1" applyFill="1" applyBorder="1" applyProtection="1">
      <protection locked="0"/>
    </xf>
    <xf numFmtId="164" fontId="4" fillId="4" borderId="6" xfId="0" applyNumberFormat="1" applyFont="1" applyFill="1" applyBorder="1"/>
    <xf numFmtId="164" fontId="4" fillId="5" borderId="6" xfId="0" applyNumberFormat="1" applyFont="1" applyFill="1" applyBorder="1"/>
    <xf numFmtId="164" fontId="4" fillId="3" borderId="6" xfId="0" applyNumberFormat="1" applyFont="1" applyFill="1" applyBorder="1"/>
    <xf numFmtId="0" fontId="8" fillId="13" borderId="0" xfId="0" applyFont="1" applyFill="1"/>
    <xf numFmtId="0" fontId="2" fillId="0" borderId="9" xfId="0" applyFont="1" applyBorder="1"/>
    <xf numFmtId="0" fontId="2" fillId="0" borderId="11" xfId="0" applyFont="1" applyBorder="1"/>
    <xf numFmtId="0" fontId="12" fillId="0" borderId="0" xfId="0" applyFont="1"/>
    <xf numFmtId="0" fontId="4" fillId="0" borderId="1" xfId="0" applyFont="1" applyBorder="1" applyAlignment="1">
      <alignment horizontal="center" wrapText="1"/>
    </xf>
    <xf numFmtId="0" fontId="4" fillId="0" borderId="2" xfId="0" applyFont="1" applyBorder="1" applyAlignment="1">
      <alignment horizontal="center" wrapText="1"/>
    </xf>
    <xf numFmtId="0" fontId="2" fillId="0" borderId="2" xfId="0" applyFont="1" applyBorder="1" applyAlignment="1">
      <alignment horizontal="center" wrapText="1"/>
    </xf>
    <xf numFmtId="0" fontId="2" fillId="0" borderId="2" xfId="0" applyFont="1" applyBorder="1" applyAlignment="1">
      <alignment horizontal="center"/>
    </xf>
    <xf numFmtId="0" fontId="12" fillId="0" borderId="10" xfId="0" applyFont="1" applyBorder="1"/>
    <xf numFmtId="0" fontId="4" fillId="0" borderId="9" xfId="0" applyFont="1" applyBorder="1"/>
    <xf numFmtId="0" fontId="4" fillId="0" borderId="11" xfId="0" applyFont="1" applyBorder="1"/>
    <xf numFmtId="164" fontId="4" fillId="8" borderId="6" xfId="0" applyNumberFormat="1" applyFont="1" applyFill="1" applyBorder="1"/>
    <xf numFmtId="164" fontId="4" fillId="14" borderId="6" xfId="0" applyNumberFormat="1" applyFont="1" applyFill="1" applyBorder="1"/>
    <xf numFmtId="164" fontId="4" fillId="6" borderId="6" xfId="0" applyNumberFormat="1" applyFont="1" applyFill="1" applyBorder="1"/>
    <xf numFmtId="164" fontId="2" fillId="4" borderId="7" xfId="0" applyNumberFormat="1" applyFont="1" applyFill="1" applyBorder="1"/>
    <xf numFmtId="164" fontId="2" fillId="5" borderId="7" xfId="0" applyNumberFormat="1" applyFont="1" applyFill="1" applyBorder="1"/>
    <xf numFmtId="164" fontId="2" fillId="3" borderId="7" xfId="0" applyNumberFormat="1" applyFont="1" applyFill="1" applyBorder="1"/>
    <xf numFmtId="164" fontId="1" fillId="5" borderId="5" xfId="0" applyNumberFormat="1" applyFont="1" applyFill="1" applyBorder="1"/>
    <xf numFmtId="164" fontId="1" fillId="4" borderId="6" xfId="0" applyNumberFormat="1" applyFont="1" applyFill="1" applyBorder="1"/>
    <xf numFmtId="0" fontId="5" fillId="0" borderId="4" xfId="0" applyFont="1" applyBorder="1"/>
    <xf numFmtId="0" fontId="1" fillId="0" borderId="13" xfId="0" applyFont="1" applyBorder="1"/>
    <xf numFmtId="0" fontId="2" fillId="0" borderId="15" xfId="0" applyFont="1" applyBorder="1"/>
    <xf numFmtId="0" fontId="5" fillId="0" borderId="13" xfId="0" applyFont="1" applyBorder="1"/>
    <xf numFmtId="10" fontId="5" fillId="0" borderId="0" xfId="0" applyNumberFormat="1" applyFont="1" applyProtection="1">
      <protection locked="0"/>
    </xf>
    <xf numFmtId="8" fontId="2" fillId="0" borderId="0" xfId="0" applyNumberFormat="1" applyFont="1"/>
    <xf numFmtId="0" fontId="1" fillId="15" borderId="0" xfId="0" applyFont="1" applyFill="1"/>
    <xf numFmtId="0" fontId="2" fillId="15" borderId="0" xfId="0" applyFont="1" applyFill="1"/>
    <xf numFmtId="0" fontId="13" fillId="15" borderId="0" xfId="0" applyFont="1" applyFill="1"/>
    <xf numFmtId="0" fontId="2" fillId="15" borderId="0" xfId="0" applyFont="1" applyFill="1" applyAlignment="1">
      <alignment wrapText="1"/>
    </xf>
    <xf numFmtId="0" fontId="2" fillId="15" borderId="0" xfId="0" applyFont="1" applyFill="1" applyAlignment="1">
      <alignment horizontal="center" wrapText="1"/>
    </xf>
    <xf numFmtId="0" fontId="13" fillId="15" borderId="0" xfId="0" applyFont="1" applyFill="1" applyAlignment="1">
      <alignment wrapText="1"/>
    </xf>
    <xf numFmtId="0" fontId="5" fillId="15" borderId="0" xfId="0" applyFont="1" applyFill="1"/>
    <xf numFmtId="164" fontId="5" fillId="16" borderId="0" xfId="0" applyNumberFormat="1" applyFont="1" applyFill="1"/>
    <xf numFmtId="0" fontId="14" fillId="15" borderId="0" xfId="0" applyFont="1" applyFill="1" applyAlignment="1">
      <alignment wrapText="1"/>
    </xf>
    <xf numFmtId="0" fontId="14" fillId="15" borderId="0" xfId="0" applyFont="1" applyFill="1" applyAlignment="1">
      <alignment horizontal="center" wrapText="1"/>
    </xf>
    <xf numFmtId="164" fontId="1" fillId="15" borderId="0" xfId="0" applyNumberFormat="1" applyFont="1" applyFill="1"/>
    <xf numFmtId="0" fontId="1" fillId="0" borderId="12" xfId="0" applyFont="1" applyBorder="1"/>
    <xf numFmtId="0" fontId="1" fillId="0" borderId="14" xfId="0" applyFont="1" applyBorder="1"/>
    <xf numFmtId="0" fontId="1" fillId="0" borderId="9" xfId="0" applyFont="1" applyBorder="1"/>
    <xf numFmtId="0" fontId="2" fillId="0" borderId="16" xfId="0" applyFont="1" applyBorder="1"/>
    <xf numFmtId="0" fontId="2" fillId="0" borderId="17" xfId="0" applyFont="1" applyBorder="1"/>
    <xf numFmtId="0" fontId="2" fillId="0" borderId="18" xfId="0" applyFont="1" applyBorder="1"/>
    <xf numFmtId="0" fontId="1" fillId="0" borderId="15" xfId="0" applyFont="1" applyBorder="1"/>
    <xf numFmtId="0" fontId="4" fillId="0" borderId="2" xfId="0" applyFont="1" applyBorder="1"/>
    <xf numFmtId="0" fontId="1" fillId="0" borderId="11" xfId="0" applyFont="1" applyBorder="1"/>
    <xf numFmtId="0" fontId="10" fillId="0" borderId="9" xfId="0" applyFont="1" applyBorder="1"/>
    <xf numFmtId="0" fontId="1" fillId="0" borderId="19" xfId="0" applyFont="1" applyBorder="1"/>
    <xf numFmtId="0" fontId="5" fillId="0" borderId="9" xfId="0" applyFont="1" applyBorder="1" applyProtection="1">
      <protection locked="0"/>
    </xf>
    <xf numFmtId="164" fontId="5" fillId="0" borderId="9" xfId="0" applyNumberFormat="1" applyFont="1" applyBorder="1"/>
    <xf numFmtId="164" fontId="5" fillId="15" borderId="0" xfId="0" applyNumberFormat="1" applyFont="1" applyFill="1"/>
    <xf numFmtId="0" fontId="3" fillId="10" borderId="4" xfId="0" applyFont="1" applyFill="1" applyBorder="1" applyAlignment="1" applyProtection="1">
      <alignment wrapText="1"/>
      <protection locked="0"/>
    </xf>
    <xf numFmtId="0" fontId="2" fillId="10" borderId="4" xfId="0" applyFont="1" applyFill="1" applyBorder="1" applyProtection="1">
      <protection locked="0"/>
    </xf>
    <xf numFmtId="0" fontId="2" fillId="10" borderId="5" xfId="0" applyFont="1" applyFill="1" applyBorder="1" applyProtection="1">
      <protection locked="0"/>
    </xf>
    <xf numFmtId="0" fontId="0" fillId="10" borderId="17" xfId="0" applyFill="1" applyBorder="1" applyProtection="1">
      <protection locked="0"/>
    </xf>
    <xf numFmtId="0" fontId="2" fillId="10" borderId="17" xfId="0" applyFont="1" applyFill="1" applyBorder="1" applyProtection="1">
      <protection locked="0"/>
    </xf>
    <xf numFmtId="0" fontId="2" fillId="10" borderId="18" xfId="0" applyFont="1" applyFill="1" applyBorder="1" applyProtection="1">
      <protection locked="0"/>
    </xf>
    <xf numFmtId="0" fontId="15" fillId="0" borderId="0" xfId="0" applyFont="1"/>
    <xf numFmtId="0" fontId="4" fillId="0" borderId="5" xfId="0" applyFont="1" applyBorder="1" applyAlignment="1">
      <alignment horizontal="center" wrapText="1"/>
    </xf>
    <xf numFmtId="9" fontId="2" fillId="2" borderId="1" xfId="0" applyNumberFormat="1" applyFont="1" applyFill="1" applyBorder="1" applyProtection="1">
      <protection locked="0"/>
    </xf>
    <xf numFmtId="9" fontId="2" fillId="2" borderId="2" xfId="0" applyNumberFormat="1" applyFont="1" applyFill="1" applyBorder="1" applyProtection="1">
      <protection locked="0"/>
    </xf>
    <xf numFmtId="0" fontId="13" fillId="0" borderId="0" xfId="0" applyFont="1" applyAlignment="1">
      <alignment wrapText="1"/>
    </xf>
    <xf numFmtId="164" fontId="2" fillId="0" borderId="0" xfId="0" applyNumberFormat="1" applyFont="1"/>
    <xf numFmtId="0" fontId="5" fillId="8" borderId="6" xfId="0" applyFont="1" applyFill="1" applyBorder="1"/>
    <xf numFmtId="3" fontId="5" fillId="0" borderId="0" xfId="0" applyNumberFormat="1" applyFont="1"/>
    <xf numFmtId="0" fontId="5" fillId="0" borderId="0" xfId="0" applyFont="1" applyProtection="1">
      <protection locked="0"/>
    </xf>
    <xf numFmtId="164" fontId="1" fillId="17" borderId="0" xfId="0" applyNumberFormat="1" applyFont="1" applyFill="1"/>
    <xf numFmtId="164" fontId="1" fillId="18" borderId="0" xfId="0" applyNumberFormat="1" applyFont="1" applyFill="1"/>
    <xf numFmtId="164" fontId="1" fillId="19" borderId="0" xfId="0" applyNumberFormat="1" applyFont="1" applyFill="1"/>
    <xf numFmtId="0" fontId="1" fillId="0" borderId="17" xfId="0" applyFont="1" applyBorder="1"/>
    <xf numFmtId="164" fontId="1" fillId="4" borderId="18" xfId="0" applyNumberFormat="1" applyFont="1" applyFill="1" applyBorder="1"/>
    <xf numFmtId="164" fontId="1" fillId="5" borderId="2" xfId="0" applyNumberFormat="1" applyFont="1" applyFill="1" applyBorder="1"/>
    <xf numFmtId="164" fontId="1" fillId="3" borderId="2" xfId="0" applyNumberFormat="1" applyFont="1" applyFill="1" applyBorder="1"/>
    <xf numFmtId="164" fontId="5" fillId="3" borderId="2" xfId="0" applyNumberFormat="1" applyFont="1" applyFill="1" applyBorder="1"/>
    <xf numFmtId="164" fontId="5" fillId="4" borderId="20" xfId="0" applyNumberFormat="1" applyFont="1" applyFill="1" applyBorder="1"/>
    <xf numFmtId="164" fontId="5" fillId="5" borderId="18" xfId="0" applyNumberFormat="1" applyFont="1" applyFill="1" applyBorder="1"/>
    <xf numFmtId="164" fontId="5" fillId="0" borderId="0" xfId="0" applyNumberFormat="1" applyFont="1" applyProtection="1">
      <protection locked="0"/>
    </xf>
    <xf numFmtId="0" fontId="14" fillId="15" borderId="0" xfId="0" applyFont="1" applyFill="1"/>
    <xf numFmtId="164" fontId="13" fillId="15" borderId="0" xfId="0" applyNumberFormat="1" applyFont="1" applyFill="1"/>
    <xf numFmtId="164" fontId="1" fillId="20" borderId="6" xfId="0" applyNumberFormat="1" applyFont="1" applyFill="1" applyBorder="1"/>
    <xf numFmtId="164" fontId="1" fillId="14" borderId="6" xfId="0" applyNumberFormat="1" applyFont="1" applyFill="1" applyBorder="1"/>
    <xf numFmtId="164" fontId="1" fillId="21" borderId="6" xfId="0" applyNumberFormat="1" applyFont="1" applyFill="1" applyBorder="1"/>
    <xf numFmtId="164" fontId="5" fillId="0" borderId="17" xfId="0" applyNumberFormat="1" applyFont="1" applyBorder="1"/>
    <xf numFmtId="0" fontId="2" fillId="0" borderId="13" xfId="0" applyFont="1" applyBorder="1"/>
    <xf numFmtId="0" fontId="4" fillId="0" borderId="13" xfId="0" applyFont="1" applyBorder="1"/>
    <xf numFmtId="164" fontId="4" fillId="8" borderId="21" xfId="0" applyNumberFormat="1" applyFont="1" applyFill="1" applyBorder="1"/>
    <xf numFmtId="0" fontId="4" fillId="0" borderId="6" xfId="0" applyFont="1" applyBorder="1" applyAlignment="1">
      <alignment horizontal="center" wrapText="1"/>
    </xf>
    <xf numFmtId="164" fontId="4" fillId="0" borderId="6" xfId="0" applyNumberFormat="1" applyFont="1" applyBorder="1" applyAlignment="1">
      <alignment horizontal="center" wrapText="1"/>
    </xf>
    <xf numFmtId="0" fontId="4" fillId="0" borderId="6" xfId="0" applyFont="1" applyBorder="1" applyAlignment="1">
      <alignment horizontal="center"/>
    </xf>
    <xf numFmtId="10" fontId="4" fillId="0" borderId="0" xfId="0" applyNumberFormat="1" applyFont="1" applyAlignment="1">
      <alignment horizontal="center"/>
    </xf>
    <xf numFmtId="165" fontId="5" fillId="0" borderId="0" xfId="0" applyNumberFormat="1" applyFont="1"/>
    <xf numFmtId="0" fontId="2" fillId="11" borderId="0" xfId="0" applyFont="1" applyFill="1"/>
    <xf numFmtId="0" fontId="5" fillId="11" borderId="0" xfId="0" applyFont="1" applyFill="1"/>
    <xf numFmtId="165" fontId="2" fillId="11" borderId="0" xfId="0" applyNumberFormat="1" applyFont="1" applyFill="1"/>
    <xf numFmtId="164" fontId="1" fillId="11" borderId="0" xfId="0" applyNumberFormat="1" applyFont="1" applyFill="1"/>
    <xf numFmtId="0" fontId="4" fillId="11" borderId="0" xfId="0" applyFont="1" applyFill="1"/>
    <xf numFmtId="3" fontId="5" fillId="10" borderId="6" xfId="0" applyNumberFormat="1" applyFont="1" applyFill="1" applyBorder="1" applyProtection="1">
      <protection locked="0"/>
    </xf>
    <xf numFmtId="165" fontId="5" fillId="10" borderId="6" xfId="0" applyNumberFormat="1" applyFont="1" applyFill="1" applyBorder="1" applyProtection="1">
      <protection locked="0"/>
    </xf>
    <xf numFmtId="165" fontId="4" fillId="10" borderId="6" xfId="0" applyNumberFormat="1" applyFont="1" applyFill="1" applyBorder="1" applyProtection="1">
      <protection locked="0"/>
    </xf>
    <xf numFmtId="0" fontId="2" fillId="10" borderId="21" xfId="0" applyFont="1" applyFill="1" applyBorder="1" applyProtection="1">
      <protection locked="0"/>
    </xf>
    <xf numFmtId="164" fontId="2" fillId="10" borderId="22" xfId="0" applyNumberFormat="1" applyFont="1" applyFill="1" applyBorder="1" applyProtection="1">
      <protection locked="0"/>
    </xf>
    <xf numFmtId="164" fontId="2" fillId="10" borderId="10" xfId="0" applyNumberFormat="1" applyFont="1" applyFill="1" applyBorder="1" applyProtection="1">
      <protection locked="0"/>
    </xf>
    <xf numFmtId="164" fontId="2" fillId="4" borderId="5" xfId="0" applyNumberFormat="1" applyFont="1" applyFill="1" applyBorder="1"/>
    <xf numFmtId="164" fontId="5" fillId="4" borderId="2" xfId="0" applyNumberFormat="1" applyFont="1" applyFill="1" applyBorder="1"/>
    <xf numFmtId="164" fontId="5" fillId="5" borderId="2" xfId="0" applyNumberFormat="1" applyFont="1" applyFill="1" applyBorder="1"/>
    <xf numFmtId="164" fontId="5" fillId="20" borderId="6" xfId="0" applyNumberFormat="1" applyFont="1" applyFill="1" applyBorder="1"/>
    <xf numFmtId="0" fontId="7" fillId="10" borderId="6" xfId="0" applyFont="1" applyFill="1" applyBorder="1" applyProtection="1">
      <protection locked="0"/>
    </xf>
    <xf numFmtId="0" fontId="2" fillId="2" borderId="5" xfId="0" applyFont="1" applyFill="1" applyBorder="1" applyProtection="1">
      <protection locked="0"/>
    </xf>
    <xf numFmtId="164" fontId="2" fillId="10" borderId="5" xfId="0" applyNumberFormat="1" applyFont="1" applyFill="1" applyBorder="1" applyProtection="1">
      <protection locked="0"/>
    </xf>
    <xf numFmtId="0" fontId="4" fillId="2" borderId="3" xfId="0" applyFont="1" applyFill="1" applyBorder="1" applyProtection="1">
      <protection locked="0"/>
    </xf>
    <xf numFmtId="0" fontId="2" fillId="2" borderId="16" xfId="0" applyFont="1" applyFill="1" applyBorder="1" applyProtection="1">
      <protection locked="0"/>
    </xf>
    <xf numFmtId="164" fontId="2" fillId="10" borderId="18" xfId="0" applyNumberFormat="1" applyFont="1" applyFill="1" applyBorder="1" applyProtection="1">
      <protection locked="0"/>
    </xf>
    <xf numFmtId="164" fontId="2" fillId="10" borderId="6" xfId="0" applyNumberFormat="1" applyFont="1" applyFill="1" applyBorder="1" applyProtection="1">
      <protection locked="0"/>
    </xf>
    <xf numFmtId="10" fontId="2" fillId="10" borderId="6" xfId="0" applyNumberFormat="1" applyFont="1" applyFill="1" applyBorder="1" applyProtection="1">
      <protection locked="0"/>
    </xf>
    <xf numFmtId="0" fontId="16" fillId="0" borderId="4" xfId="0" applyFont="1" applyBorder="1"/>
    <xf numFmtId="0" fontId="16" fillId="0" borderId="5" xfId="0" applyFont="1" applyBorder="1"/>
    <xf numFmtId="164" fontId="17" fillId="8" borderId="6" xfId="0" applyNumberFormat="1" applyFont="1" applyFill="1" applyBorder="1"/>
    <xf numFmtId="164" fontId="17" fillId="8" borderId="21" xfId="0" applyNumberFormat="1" applyFont="1" applyFill="1" applyBorder="1"/>
    <xf numFmtId="0" fontId="18" fillId="0" borderId="13" xfId="0" applyFont="1" applyBorder="1"/>
    <xf numFmtId="164" fontId="18" fillId="0" borderId="13" xfId="0" applyNumberFormat="1" applyFont="1" applyBorder="1"/>
    <xf numFmtId="164" fontId="18" fillId="8" borderId="21" xfId="0" applyNumberFormat="1" applyFont="1" applyFill="1" applyBorder="1"/>
    <xf numFmtId="164" fontId="5" fillId="7" borderId="21" xfId="0" applyNumberFormat="1" applyFont="1" applyFill="1" applyBorder="1"/>
    <xf numFmtId="164" fontId="5" fillId="6" borderId="21" xfId="0" applyNumberFormat="1" applyFont="1" applyFill="1" applyBorder="1"/>
    <xf numFmtId="164" fontId="4" fillId="7" borderId="21" xfId="0" applyNumberFormat="1" applyFont="1" applyFill="1" applyBorder="1"/>
    <xf numFmtId="164" fontId="4" fillId="6" borderId="21" xfId="0" applyNumberFormat="1" applyFont="1" applyFill="1" applyBorder="1"/>
    <xf numFmtId="0" fontId="4" fillId="0" borderId="3" xfId="0" applyFont="1" applyBorder="1" applyAlignment="1">
      <alignment wrapText="1"/>
    </xf>
    <xf numFmtId="164" fontId="4" fillId="8" borderId="1" xfId="0" applyNumberFormat="1" applyFont="1" applyFill="1" applyBorder="1"/>
    <xf numFmtId="164" fontId="4" fillId="7" borderId="1" xfId="0" applyNumberFormat="1" applyFont="1" applyFill="1" applyBorder="1"/>
    <xf numFmtId="164" fontId="4" fillId="6" borderId="1" xfId="0" applyNumberFormat="1" applyFont="1" applyFill="1" applyBorder="1"/>
    <xf numFmtId="0" fontId="2" fillId="11" borderId="0" xfId="0" applyFont="1" applyFill="1" applyAlignment="1">
      <alignment wrapText="1"/>
    </xf>
    <xf numFmtId="0" fontId="2" fillId="11" borderId="0" xfId="0" applyFont="1" applyFill="1" applyAlignment="1">
      <alignment horizontal="center" wrapText="1"/>
    </xf>
    <xf numFmtId="0" fontId="17" fillId="11" borderId="0" xfId="0" applyFont="1" applyFill="1"/>
    <xf numFmtId="0" fontId="2" fillId="11"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FFCCFF"/>
      <color rgb="FFFFFF99"/>
      <color rgb="FFFFEAD5"/>
      <color rgb="FFFFE2C5"/>
      <color rgb="FFFECCF3"/>
      <color rgb="FFA0F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265642</xdr:colOff>
      <xdr:row>3</xdr:row>
      <xdr:rowOff>140919</xdr:rowOff>
    </xdr:to>
    <xdr:pic>
      <xdr:nvPicPr>
        <xdr:cNvPr id="2" name="Picture 1">
          <a:extLst>
            <a:ext uri="{FF2B5EF4-FFF2-40B4-BE49-F238E27FC236}">
              <a16:creationId xmlns:a16="http://schemas.microsoft.com/office/drawing/2014/main" id="{8D1340AD-F1C5-4DA0-A869-64A83C9DE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04042" cy="712419"/>
        </a:xfrm>
        <a:prstGeom prst="rect">
          <a:avLst/>
        </a:prstGeom>
      </xdr:spPr>
    </xdr:pic>
    <xdr:clientData/>
  </xdr:twoCellAnchor>
  <xdr:twoCellAnchor>
    <xdr:from>
      <xdr:col>0</xdr:col>
      <xdr:colOff>123825</xdr:colOff>
      <xdr:row>5</xdr:row>
      <xdr:rowOff>152398</xdr:rowOff>
    </xdr:from>
    <xdr:to>
      <xdr:col>16</xdr:col>
      <xdr:colOff>28575</xdr:colOff>
      <xdr:row>167</xdr:row>
      <xdr:rowOff>114300</xdr:rowOff>
    </xdr:to>
    <xdr:sp macro="" textlink="">
      <xdr:nvSpPr>
        <xdr:cNvPr id="3" name="TextBox 2">
          <a:extLst>
            <a:ext uri="{FF2B5EF4-FFF2-40B4-BE49-F238E27FC236}">
              <a16:creationId xmlns:a16="http://schemas.microsoft.com/office/drawing/2014/main" id="{EA7A8D41-1215-4229-A51E-79F02A1AECD5}"/>
            </a:ext>
          </a:extLst>
        </xdr:cNvPr>
        <xdr:cNvSpPr txBox="1"/>
      </xdr:nvSpPr>
      <xdr:spPr>
        <a:xfrm>
          <a:off x="123825" y="1152523"/>
          <a:ext cx="9658350" cy="30822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dk1"/>
              </a:solidFill>
              <a:effectLst/>
              <a:latin typeface="+mn-lt"/>
              <a:ea typeface="+mn-ea"/>
              <a:cs typeface="+mn-cs"/>
            </a:rPr>
            <a:t>Directions</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This Enterprise Budget is intended to be a practical approach for producers to evaluate profitability of their cow-calf enterprise.  It may also be used to assist with estimating projections for future years or changes to the enterprise.</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The cells that are </a:t>
          </a:r>
          <a:r>
            <a:rPr lang="en-US" sz="1200" i="1" u="sng">
              <a:solidFill>
                <a:schemeClr val="dk1"/>
              </a:solidFill>
              <a:effectLst/>
              <a:latin typeface="+mn-lt"/>
              <a:ea typeface="+mn-ea"/>
              <a:cs typeface="+mn-cs"/>
            </a:rPr>
            <a:t>light blue in color can be edited by the user</a:t>
          </a:r>
          <a:r>
            <a:rPr lang="en-US" sz="1200">
              <a:solidFill>
                <a:schemeClr val="dk1"/>
              </a:solidFill>
              <a:effectLst/>
              <a:latin typeface="+mn-lt"/>
              <a:ea typeface="+mn-ea"/>
              <a:cs typeface="+mn-cs"/>
            </a:rPr>
            <a:t>.  Cells that are yellow, pink and peach in color are calculated from user inputs and cannot be edited by the user.  The enterprise budget calculates revenue and expenses on a whole enterprise, per cow, and per hundred weight of feeder calf sold basis.  </a:t>
          </a:r>
          <a:r>
            <a:rPr lang="en-US" sz="1200" b="1">
              <a:solidFill>
                <a:schemeClr val="dk1"/>
              </a:solidFill>
              <a:effectLst/>
              <a:latin typeface="+mn-lt"/>
              <a:ea typeface="+mn-ea"/>
              <a:cs typeface="+mn-cs"/>
            </a:rPr>
            <a:t>The accuracy of the information generated is only as good and the information entered to calculate it.   </a:t>
          </a:r>
        </a:p>
        <a:p>
          <a:r>
            <a:rPr lang="en-US" sz="1200" b="1">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If you encounter any problems with the spreadsheet contact Bill Halfman at </a:t>
          </a:r>
          <a:r>
            <a:rPr lang="en-US" sz="1200" u="sng">
              <a:solidFill>
                <a:schemeClr val="dk1"/>
              </a:solidFill>
              <a:effectLst/>
              <a:latin typeface="+mn-lt"/>
              <a:ea typeface="+mn-ea"/>
              <a:cs typeface="+mn-cs"/>
              <a:hlinkClick xmlns:r="http://schemas.openxmlformats.org/officeDocument/2006/relationships" r:id=""/>
            </a:rPr>
            <a:t>william.halfman@wisc.edu</a:t>
          </a:r>
          <a:r>
            <a:rPr lang="en-US" sz="1200">
              <a:solidFill>
                <a:schemeClr val="dk1"/>
              </a:solidFill>
              <a:effectLst/>
              <a:latin typeface="+mn-lt"/>
              <a:ea typeface="+mn-ea"/>
              <a:cs typeface="+mn-cs"/>
            </a:rPr>
            <a:t>, Dr. Brenda Boetel at </a:t>
          </a:r>
          <a:r>
            <a:rPr lang="en-US" sz="1200" u="sng">
              <a:solidFill>
                <a:schemeClr val="dk1"/>
              </a:solidFill>
              <a:effectLst/>
              <a:latin typeface="+mn-lt"/>
              <a:ea typeface="+mn-ea"/>
              <a:cs typeface="+mn-cs"/>
              <a:hlinkClick xmlns:r="http://schemas.openxmlformats.org/officeDocument/2006/relationships" r:id=""/>
            </a:rPr>
            <a:t>brenda.boetel@uwrf.edu</a:t>
          </a:r>
          <a:r>
            <a:rPr lang="en-US" sz="1200">
              <a:solidFill>
                <a:schemeClr val="dk1"/>
              </a:solidFill>
              <a:effectLst/>
              <a:latin typeface="+mn-lt"/>
              <a:ea typeface="+mn-ea"/>
              <a:cs typeface="+mn-cs"/>
            </a:rPr>
            <a:t>, Ryan Sterry at </a:t>
          </a:r>
          <a:r>
            <a:rPr lang="en-US" sz="1200" u="sng">
              <a:solidFill>
                <a:schemeClr val="dk1"/>
              </a:solidFill>
              <a:effectLst/>
              <a:latin typeface="+mn-lt"/>
              <a:ea typeface="+mn-ea"/>
              <a:cs typeface="+mn-cs"/>
              <a:hlinkClick xmlns:r="http://schemas.openxmlformats.org/officeDocument/2006/relationships" r:id=""/>
            </a:rPr>
            <a:t>ryan.sterry@wisc.edu</a:t>
          </a:r>
          <a:r>
            <a:rPr lang="en-US" sz="1200">
              <a:solidFill>
                <a:schemeClr val="dk1"/>
              </a:solidFill>
              <a:effectLst/>
              <a:latin typeface="+mn-lt"/>
              <a:ea typeface="+mn-ea"/>
              <a:cs typeface="+mn-cs"/>
            </a:rPr>
            <a:t>, or Amanda Cauffman at amanda.cauffman@wisc.edu.The following directions will go through each section of the spreadsheet and provide some guidelines and explanation for what to enter.</a:t>
          </a:r>
        </a:p>
        <a:p>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Costs of production and breakeven can be calculated using two different methods in this spreadsheet: Enterprise Budget Method and Cash Flow Method.  </a:t>
          </a: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 </a:t>
          </a: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prstClr val="black"/>
              </a:solidFill>
              <a:effectLst/>
              <a:uLnTx/>
              <a:uFillTx/>
              <a:latin typeface="+mn-lt"/>
              <a:ea typeface="+mn-ea"/>
              <a:cs typeface="+mn-cs"/>
            </a:rPr>
            <a:t>Enterprise budget method includes the following expenses: depreciation, pro-rated purchased breeding stock expenses, cash expenses (except cash purchased overhead items), all opportunity cost. It does not include intermediate and long term debt principal payments.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prstClr val="black"/>
              </a:solidFill>
              <a:effectLst/>
              <a:uLnTx/>
              <a:uFillTx/>
              <a:latin typeface="+mn-lt"/>
              <a:ea typeface="+mn-ea"/>
              <a:cs typeface="+mn-cs"/>
            </a:rPr>
            <a:t>Cashflow budget method includes the following expenses: cash expenses (including breeding stock and capital purchases made with cash on hand in that production year), home grown feed costs, principal payments, It does NOT include depreciation, and opportunity costs on overhead.</a:t>
          </a:r>
        </a:p>
        <a:p>
          <a:endParaRPr lang="en-US" sz="1400" b="1">
            <a:solidFill>
              <a:schemeClr val="dk1"/>
            </a:solidFill>
            <a:effectLst/>
            <a:latin typeface="+mn-lt"/>
            <a:ea typeface="+mn-ea"/>
            <a:cs typeface="+mn-cs"/>
          </a:endParaRPr>
        </a:p>
        <a:p>
          <a:r>
            <a:rPr lang="en-US" sz="1200" b="1">
              <a:solidFill>
                <a:schemeClr val="dk1"/>
              </a:solidFill>
              <a:effectLst/>
              <a:latin typeface="+mn-lt"/>
              <a:ea typeface="+mn-ea"/>
              <a:cs typeface="+mn-cs"/>
            </a:rPr>
            <a:t>The Enterprise</a:t>
          </a:r>
          <a:r>
            <a:rPr lang="en-US" sz="1200" b="1" baseline="0">
              <a:solidFill>
                <a:schemeClr val="dk1"/>
              </a:solidFill>
              <a:effectLst/>
              <a:latin typeface="+mn-lt"/>
              <a:ea typeface="+mn-ea"/>
              <a:cs typeface="+mn-cs"/>
            </a:rPr>
            <a:t> Budget Method is for </a:t>
          </a:r>
          <a:r>
            <a:rPr lang="en-US" sz="1200" b="1" i="0">
              <a:solidFill>
                <a:schemeClr val="dk1"/>
              </a:solidFill>
              <a:effectLst/>
              <a:latin typeface="+mn-lt"/>
              <a:ea typeface="+mn-ea"/>
              <a:cs typeface="+mn-cs"/>
            </a:rPr>
            <a:t>Planning/Estimating revenues, costs, and profits for a single enterprise. The enterprise budget method allows an examination of the profitability of that particular enterprise within the context of the overall business.</a:t>
          </a:r>
        </a:p>
        <a:p>
          <a:endParaRPr lang="en-US" sz="1200" b="1" baseline="0">
            <a:solidFill>
              <a:schemeClr val="dk1"/>
            </a:solidFill>
            <a:effectLst/>
            <a:latin typeface="+mn-lt"/>
            <a:ea typeface="+mn-ea"/>
            <a:cs typeface="+mn-cs"/>
          </a:endParaRPr>
        </a:p>
        <a:p>
          <a:r>
            <a:rPr lang="en-US" sz="1200" b="1" baseline="0">
              <a:solidFill>
                <a:schemeClr val="dk1"/>
              </a:solidFill>
              <a:effectLst/>
              <a:latin typeface="+mn-lt"/>
              <a:ea typeface="+mn-ea"/>
              <a:cs typeface="+mn-cs"/>
            </a:rPr>
            <a:t>The cash flow method is a</a:t>
          </a:r>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planning document for cash management that shows projected/planned cash incomes and expenses (it is not a measure of profitability). It</a:t>
          </a:r>
          <a:r>
            <a:rPr lang="en-US" sz="1200" b="1" i="0" baseline="0">
              <a:solidFill>
                <a:schemeClr val="dk1"/>
              </a:solidFill>
              <a:effectLst/>
              <a:latin typeface="+mn-lt"/>
              <a:ea typeface="+mn-ea"/>
              <a:cs typeface="+mn-cs"/>
            </a:rPr>
            <a:t> is basically telling you if the income in one production cycle will pay for the cash expenses of that production cycle.</a:t>
          </a:r>
          <a:endParaRPr lang="en-US" sz="1200" b="1">
            <a:solidFill>
              <a:schemeClr val="dk1"/>
            </a:solidFill>
            <a:effectLst/>
            <a:latin typeface="+mn-lt"/>
            <a:ea typeface="+mn-ea"/>
            <a:cs typeface="+mn-cs"/>
          </a:endParaRPr>
        </a:p>
        <a:p>
          <a:endParaRPr lang="en-US" sz="1400" b="1">
            <a:solidFill>
              <a:schemeClr val="dk1"/>
            </a:solidFill>
            <a:effectLst/>
            <a:latin typeface="+mn-lt"/>
            <a:ea typeface="+mn-ea"/>
            <a:cs typeface="+mn-cs"/>
          </a:endParaRPr>
        </a:p>
        <a:p>
          <a:r>
            <a:rPr lang="en-US" sz="1400" b="1">
              <a:solidFill>
                <a:schemeClr val="dk1"/>
              </a:solidFill>
              <a:effectLst/>
              <a:latin typeface="+mn-lt"/>
              <a:ea typeface="+mn-ea"/>
              <a:cs typeface="+mn-cs"/>
            </a:rPr>
            <a:t>Cattle numbers and values</a:t>
          </a:r>
          <a:endParaRPr lang="en-US" sz="14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At the top of the spreadsheet enter in the number of cows and heifers owned at the beginning of this annual cycle that should calve during this cycle. This is used to calculate out the budget on a per cow basis and used to calculate opportunity cost of owning the cows.</a:t>
          </a:r>
        </a:p>
        <a:p>
          <a:endParaRPr lang="en-US" sz="1200" b="1">
            <a:solidFill>
              <a:schemeClr val="dk1"/>
            </a:solidFill>
            <a:effectLst/>
            <a:latin typeface="+mn-lt"/>
            <a:ea typeface="+mn-ea"/>
            <a:cs typeface="+mn-cs"/>
          </a:endParaRPr>
        </a:p>
        <a:p>
          <a:r>
            <a:rPr lang="en-US" sz="1400" b="1">
              <a:solidFill>
                <a:schemeClr val="dk1"/>
              </a:solidFill>
              <a:effectLst/>
              <a:latin typeface="+mn-lt"/>
              <a:ea typeface="+mn-ea"/>
              <a:cs typeface="+mn-cs"/>
            </a:rPr>
            <a:t>Revenue</a:t>
          </a:r>
          <a:endParaRPr lang="en-US" sz="1400">
            <a:solidFill>
              <a:schemeClr val="dk1"/>
            </a:solidFill>
            <a:effectLst/>
            <a:latin typeface="+mn-lt"/>
            <a:ea typeface="+mn-ea"/>
            <a:cs typeface="+mn-cs"/>
          </a:endParaRPr>
        </a:p>
        <a:p>
          <a:r>
            <a:rPr lang="en-US" sz="1200">
              <a:solidFill>
                <a:schemeClr val="dk1"/>
              </a:solidFill>
              <a:effectLst/>
              <a:latin typeface="+mn-lt"/>
              <a:ea typeface="+mn-ea"/>
              <a:cs typeface="+mn-cs"/>
            </a:rPr>
            <a:t>The enterprise budget is based on the premise that the cow-calf operation is selling the majority of the calves as feeder calves.  </a:t>
          </a:r>
        </a:p>
        <a:p>
          <a:pPr marL="171450" lvl="0" indent="-171450">
            <a:buFont typeface="Arial" panose="020B0604020202020204" pitchFamily="34" charset="0"/>
            <a:buChar char="•"/>
          </a:pPr>
          <a:r>
            <a:rPr lang="en-US" sz="1200">
              <a:solidFill>
                <a:schemeClr val="dk1"/>
              </a:solidFill>
              <a:effectLst/>
              <a:latin typeface="+mn-lt"/>
              <a:ea typeface="+mn-ea"/>
              <a:cs typeface="+mn-cs"/>
            </a:rPr>
            <a:t>Since there is usually a price differential between heifers and steers it is set up to enter each on a separate line.  </a:t>
          </a:r>
        </a:p>
        <a:p>
          <a:pPr marL="171450" lvl="0" indent="-171450">
            <a:buFont typeface="Arial" panose="020B0604020202020204" pitchFamily="34" charset="0"/>
            <a:buChar char="•"/>
          </a:pPr>
          <a:r>
            <a:rPr lang="en-US" sz="1200">
              <a:solidFill>
                <a:schemeClr val="dk1"/>
              </a:solidFill>
              <a:effectLst/>
              <a:latin typeface="+mn-lt"/>
              <a:ea typeface="+mn-ea"/>
              <a:cs typeface="+mn-cs"/>
            </a:rPr>
            <a:t>Enter in the total revenue from the sale of cull cows and bulls, due to variability in prices and timing of sales, a total entry for them is easier to track.</a:t>
          </a:r>
        </a:p>
        <a:p>
          <a:pPr marL="171450" lvl="0" indent="-171450">
            <a:buFont typeface="Arial" panose="020B0604020202020204" pitchFamily="34" charset="0"/>
            <a:buChar char="•"/>
          </a:pPr>
          <a:r>
            <a:rPr lang="en-US" sz="1200">
              <a:solidFill>
                <a:schemeClr val="dk1"/>
              </a:solidFill>
              <a:effectLst/>
              <a:latin typeface="+mn-lt"/>
              <a:ea typeface="+mn-ea"/>
              <a:cs typeface="+mn-cs"/>
            </a:rPr>
            <a:t>The </a:t>
          </a:r>
          <a:r>
            <a:rPr lang="en-US" sz="1200" u="sng">
              <a:solidFill>
                <a:schemeClr val="dk1"/>
              </a:solidFill>
              <a:effectLst/>
              <a:latin typeface="+mn-lt"/>
              <a:ea typeface="+mn-ea"/>
              <a:cs typeface="+mn-cs"/>
            </a:rPr>
            <a:t>Other Livestock Sales</a:t>
          </a:r>
          <a:r>
            <a:rPr lang="en-US" sz="1200">
              <a:solidFill>
                <a:schemeClr val="dk1"/>
              </a:solidFill>
              <a:effectLst/>
              <a:latin typeface="+mn-lt"/>
              <a:ea typeface="+mn-ea"/>
              <a:cs typeface="+mn-cs"/>
            </a:rPr>
            <a:t> can be used to account for any breeding stock sold, or any animals sold directly to consumers to eat, presuming those are a small percentage of animals sold.  Make sure to include the costs of raising the </a:t>
          </a:r>
          <a:r>
            <a:rPr lang="en-US" sz="1200" u="sng">
              <a:solidFill>
                <a:schemeClr val="dk1"/>
              </a:solidFill>
              <a:effectLst/>
              <a:latin typeface="+mn-lt"/>
              <a:ea typeface="+mn-ea"/>
              <a:cs typeface="+mn-cs"/>
            </a:rPr>
            <a:t>Other Livestock Sales</a:t>
          </a:r>
          <a:r>
            <a:rPr lang="en-US" sz="1200">
              <a:solidFill>
                <a:schemeClr val="dk1"/>
              </a:solidFill>
              <a:effectLst/>
              <a:latin typeface="+mn-lt"/>
              <a:ea typeface="+mn-ea"/>
              <a:cs typeface="+mn-cs"/>
            </a:rPr>
            <a:t> animals in the expenses sections.</a:t>
          </a:r>
        </a:p>
        <a:p>
          <a:endParaRPr lang="en-US" sz="1200">
            <a:solidFill>
              <a:schemeClr val="dk1"/>
            </a:solidFill>
            <a:effectLst/>
            <a:latin typeface="+mn-lt"/>
            <a:ea typeface="+mn-ea"/>
            <a:cs typeface="+mn-cs"/>
          </a:endParaRPr>
        </a:p>
        <a:p>
          <a:r>
            <a:rPr lang="en-US" sz="1400" b="1">
              <a:solidFill>
                <a:schemeClr val="dk1"/>
              </a:solidFill>
              <a:effectLst/>
              <a:latin typeface="+mn-lt"/>
              <a:ea typeface="+mn-ea"/>
              <a:cs typeface="+mn-cs"/>
            </a:rPr>
            <a:t>Expenses</a:t>
          </a:r>
        </a:p>
        <a:p>
          <a:endParaRPr lang="en-US" sz="1100">
            <a:solidFill>
              <a:schemeClr val="dk1"/>
            </a:solidFill>
            <a:effectLst/>
            <a:latin typeface="+mn-lt"/>
            <a:ea typeface="+mn-ea"/>
            <a:cs typeface="+mn-cs"/>
          </a:endParaRPr>
        </a:p>
        <a:p>
          <a:r>
            <a:rPr lang="en-US" sz="1200" b="1">
              <a:solidFill>
                <a:schemeClr val="dk1"/>
              </a:solidFill>
              <a:effectLst/>
              <a:latin typeface="+mn-lt"/>
              <a:ea typeface="+mn-ea"/>
              <a:cs typeface="+mn-cs"/>
            </a:rPr>
            <a:t>General Instructions:  </a:t>
          </a:r>
          <a:r>
            <a:rPr lang="en-US" sz="1200">
              <a:solidFill>
                <a:schemeClr val="dk1"/>
              </a:solidFill>
              <a:effectLst/>
              <a:latin typeface="+mn-lt"/>
              <a:ea typeface="+mn-ea"/>
              <a:cs typeface="+mn-cs"/>
            </a:rPr>
            <a:t>enter items used throughout the year, quantity used, purchase price, or fair market value if homegrown.  Some may be regularly occurring expenses, such as feed.  Also consider infrequent expenses you may have such as ear tags, pasture seeding, etc. </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200" b="1">
              <a:solidFill>
                <a:schemeClr val="dk1"/>
              </a:solidFill>
              <a:effectLst/>
              <a:latin typeface="+mn-lt"/>
              <a:ea typeface="+mn-ea"/>
              <a:cs typeface="+mn-cs"/>
            </a:rPr>
            <a:t>Home Grown Feed</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This budget tool is set up to evaluate the cow-calf enterprise.</a:t>
          </a:r>
        </a:p>
        <a:p>
          <a:pPr marL="171450" lvl="0" indent="-171450">
            <a:buFont typeface="Arial" panose="020B0604020202020204" pitchFamily="34" charset="0"/>
            <a:buChar char="•"/>
          </a:pPr>
          <a:r>
            <a:rPr lang="en-US" sz="1200">
              <a:solidFill>
                <a:schemeClr val="dk1"/>
              </a:solidFill>
              <a:effectLst/>
              <a:latin typeface="+mn-lt"/>
              <a:ea typeface="+mn-ea"/>
              <a:cs typeface="+mn-cs"/>
            </a:rPr>
            <a:t>We suggest that users use one of two options to determine a value for home grown feed.  We also suggest sticking to one method for home grown feeds, not mix the two.</a:t>
          </a:r>
        </a:p>
        <a:p>
          <a:pPr marL="628650" lvl="1" indent="-171450">
            <a:buFont typeface="Courier New" panose="02070309020205020404" pitchFamily="49" charset="0"/>
            <a:buChar char="o"/>
          </a:pPr>
          <a:r>
            <a:rPr lang="en-US" sz="1200">
              <a:solidFill>
                <a:schemeClr val="dk1"/>
              </a:solidFill>
              <a:effectLst/>
              <a:latin typeface="+mn-lt"/>
              <a:ea typeface="+mn-ea"/>
              <a:cs typeface="+mn-cs"/>
            </a:rPr>
            <a:t>Option 1. Use a reasonable fair market value that it could be sold for.  This provides an opportunity cost for the home grown feed. This will be the simplest method.</a:t>
          </a:r>
        </a:p>
        <a:p>
          <a:pPr marL="628650" lvl="1" indent="-171450">
            <a:buFont typeface="Courier New" panose="02070309020205020404" pitchFamily="49" charset="0"/>
            <a:buChar char="o"/>
          </a:pPr>
          <a:r>
            <a:rPr lang="en-US" sz="1200">
              <a:solidFill>
                <a:schemeClr val="dk1"/>
              </a:solidFill>
              <a:effectLst/>
              <a:latin typeface="+mn-lt"/>
              <a:ea typeface="+mn-ea"/>
              <a:cs typeface="+mn-cs"/>
            </a:rPr>
            <a:t>Option 2. Determine a cost of production for the home grown feed using a budgeting tool similar to this spreadsheet, but designed to calculate costs of production for crops. UW Extension and other University Extensions do have these type of spreadsheets available. We did not included crops cost of production tools in this spreadsheet as it would become larger and we want to keep in central to just the cow-calf enterprise rather than a whole farm or multiple enterprise tool.   </a:t>
          </a:r>
        </a:p>
        <a:p>
          <a:pPr marL="171450" lvl="0" indent="-171450">
            <a:buFont typeface="Arial" panose="020B0604020202020204" pitchFamily="34" charset="0"/>
            <a:buChar char="•"/>
          </a:pPr>
          <a:r>
            <a:rPr lang="en-US" sz="1200">
              <a:solidFill>
                <a:schemeClr val="dk1"/>
              </a:solidFill>
              <a:effectLst/>
              <a:latin typeface="+mn-lt"/>
              <a:ea typeface="+mn-ea"/>
              <a:cs typeface="+mn-cs"/>
            </a:rPr>
            <a:t>The User can change feedstuffs and units as they best fit their operation.  For example if they would rather determine hay usage in bales rather than tons, and have a market value on a per bale basis, it can be entered as such.</a:t>
          </a:r>
        </a:p>
        <a:p>
          <a:endParaRPr lang="en-US" sz="1100"/>
        </a:p>
        <a:p>
          <a:r>
            <a:rPr lang="en-US" sz="1200" b="1">
              <a:solidFill>
                <a:schemeClr val="dk1"/>
              </a:solidFill>
              <a:effectLst/>
              <a:latin typeface="+mn-lt"/>
              <a:ea typeface="+mn-ea"/>
              <a:cs typeface="+mn-cs"/>
            </a:rPr>
            <a:t>Purchased Feed</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Purchased feed quantities and costs should be easily obtained from records from suppliers and payments made.</a:t>
          </a:r>
        </a:p>
        <a:p>
          <a:pPr marL="171450" lvl="0" indent="-171450">
            <a:buFont typeface="Arial" panose="020B0604020202020204" pitchFamily="34" charset="0"/>
            <a:buChar char="•"/>
          </a:pPr>
          <a:r>
            <a:rPr lang="en-US" sz="1200">
              <a:solidFill>
                <a:schemeClr val="dk1"/>
              </a:solidFill>
              <a:effectLst/>
              <a:latin typeface="+mn-lt"/>
              <a:ea typeface="+mn-ea"/>
              <a:cs typeface="+mn-cs"/>
            </a:rPr>
            <a:t>Be cautious to not include any pre-purchased feed that may be on hand for use in the next year.</a:t>
          </a:r>
        </a:p>
        <a:p>
          <a:pPr marL="171450" lvl="0" indent="-171450">
            <a:buFont typeface="Arial" panose="020B0604020202020204" pitchFamily="34" charset="0"/>
            <a:buChar char="•"/>
          </a:pPr>
          <a:r>
            <a:rPr lang="en-US" sz="1200">
              <a:solidFill>
                <a:schemeClr val="dk1"/>
              </a:solidFill>
              <a:effectLst/>
              <a:latin typeface="+mn-lt"/>
              <a:ea typeface="+mn-ea"/>
              <a:cs typeface="+mn-cs"/>
            </a:rPr>
            <a:t>If there are multiple livestock enterprises on the farm it may be necessary to sort through records to only include those used for the cow-calf enterprise.</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Bedding</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Purchased price can be used for purchased bedding.</a:t>
          </a:r>
        </a:p>
        <a:p>
          <a:pPr marL="171450" lvl="0" indent="-171450">
            <a:buFont typeface="Arial" panose="020B0604020202020204" pitchFamily="34" charset="0"/>
            <a:buChar char="•"/>
          </a:pPr>
          <a:r>
            <a:rPr lang="en-US" sz="1200">
              <a:solidFill>
                <a:schemeClr val="dk1"/>
              </a:solidFill>
              <a:effectLst/>
              <a:latin typeface="+mn-lt"/>
              <a:ea typeface="+mn-ea"/>
              <a:cs typeface="+mn-cs"/>
            </a:rPr>
            <a:t>Market value can be used for home harvested bedding.  When using opportunity cost, do not count harvest machinery costs, those should be accounted for in market value of the bedding, and would result in double counting of the costs.</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Useful links </a:t>
          </a:r>
        </a:p>
        <a:p>
          <a:r>
            <a:rPr lang="en-US" sz="1200">
              <a:solidFill>
                <a:schemeClr val="dk1"/>
              </a:solidFill>
              <a:effectLst/>
              <a:latin typeface="+mn-lt"/>
              <a:ea typeface="+mn-ea"/>
              <a:cs typeface="+mn-cs"/>
            </a:rPr>
            <a:t>“Forage Inventory Tool” </a:t>
          </a:r>
          <a:r>
            <a:rPr lang="en-US" sz="1200" u="sng">
              <a:solidFill>
                <a:schemeClr val="dk1"/>
              </a:solidFill>
              <a:effectLst/>
              <a:latin typeface="+mn-lt"/>
              <a:ea typeface="+mn-ea"/>
              <a:cs typeface="+mn-cs"/>
            </a:rPr>
            <a:t> https://livestock.extension.wisc.edu/article-topic/decision-tools-and-software/</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“Hay Market Reports” </a:t>
          </a:r>
          <a:r>
            <a:rPr lang="en-US" sz="1200" u="sng">
              <a:solidFill>
                <a:schemeClr val="dk1"/>
              </a:solidFill>
              <a:effectLst/>
              <a:latin typeface="+mn-lt"/>
              <a:ea typeface="+mn-ea"/>
              <a:cs typeface="+mn-cs"/>
              <a:hlinkClick xmlns:r="http://schemas.openxmlformats.org/officeDocument/2006/relationships" r:id=""/>
            </a:rPr>
            <a:t>http://fyi.uwex.edu/forage/h-m-r/</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Veterinary, Medicine and Breeding</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is for expenses dealing with overall health management and reproduction of the cow-calf enterprise.</a:t>
          </a:r>
        </a:p>
        <a:p>
          <a:pPr marL="171450" lvl="0" indent="-171450">
            <a:buFont typeface="Arial" panose="020B0604020202020204" pitchFamily="34" charset="0"/>
            <a:buChar char="•"/>
          </a:pPr>
          <a:r>
            <a:rPr lang="en-US" sz="1200">
              <a:solidFill>
                <a:schemeClr val="dk1"/>
              </a:solidFill>
              <a:effectLst/>
              <a:latin typeface="+mn-lt"/>
              <a:ea typeface="+mn-ea"/>
              <a:cs typeface="+mn-cs"/>
            </a:rPr>
            <a:t>Enter in the annual costs for items related to herd health and reproduction.</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Pasture Expenses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should include direct expenses for pasture like herbicide, seed, and fertilizer.</a:t>
          </a:r>
        </a:p>
        <a:p>
          <a:pPr marL="171450" lvl="0" indent="-171450">
            <a:buFont typeface="Arial" panose="020B0604020202020204" pitchFamily="34" charset="0"/>
            <a:buChar char="•"/>
          </a:pPr>
          <a:r>
            <a:rPr lang="en-US" sz="1200">
              <a:solidFill>
                <a:schemeClr val="dk1"/>
              </a:solidFill>
              <a:effectLst/>
              <a:latin typeface="+mn-lt"/>
              <a:ea typeface="+mn-ea"/>
              <a:cs typeface="+mn-cs"/>
            </a:rPr>
            <a:t>Pasture management expenses, such as interseeding, or frost seeding,</a:t>
          </a:r>
          <a:r>
            <a:rPr lang="en-US" sz="1200" baseline="0">
              <a:solidFill>
                <a:schemeClr val="dk1"/>
              </a:solidFill>
              <a:effectLst/>
              <a:latin typeface="+mn-lt"/>
              <a:ea typeface="+mn-ea"/>
              <a:cs typeface="+mn-cs"/>
            </a:rPr>
            <a:t> fertilizer and lime applications, and some herbicide applications, that are routinely done every 2 to 3 years can be prorated to reflect the percent of that expense for for the year being analyzed.  For example if a practice is done once every three years, enter in one-third of the cost to represent the yearly expense.</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If you include repair items like fencing materials, do not include them in the repairs section in related expenses.</a:t>
          </a:r>
        </a:p>
        <a:p>
          <a:pPr marL="171450" lvl="0" indent="-171450">
            <a:buFont typeface="Arial" panose="020B0604020202020204" pitchFamily="34" charset="0"/>
            <a:buChar char="•"/>
          </a:pPr>
          <a:r>
            <a:rPr lang="en-US" sz="1200">
              <a:solidFill>
                <a:schemeClr val="dk1"/>
              </a:solidFill>
              <a:effectLst/>
              <a:latin typeface="+mn-lt"/>
              <a:ea typeface="+mn-ea"/>
              <a:cs typeface="+mn-cs"/>
            </a:rPr>
            <a:t>Rented pasture rental payments should be included here.</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Other Direct Expenses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is a list of various common direct expenses that do not fit into the above categories.</a:t>
          </a:r>
        </a:p>
        <a:p>
          <a:pPr marL="171450" lvl="0" indent="-171450">
            <a:buFont typeface="Arial" panose="020B0604020202020204" pitchFamily="34" charset="0"/>
            <a:buChar char="•"/>
          </a:pPr>
          <a:r>
            <a:rPr lang="en-US" sz="1200">
              <a:solidFill>
                <a:schemeClr val="dk1"/>
              </a:solidFill>
              <a:effectLst/>
              <a:latin typeface="+mn-lt"/>
              <a:ea typeface="+mn-ea"/>
              <a:cs typeface="+mn-cs"/>
            </a:rPr>
            <a:t>Enter those incurred by the cow calf enterprise.</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Direct Expenses Summary and Opportunity Costs for Direct Expenses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totals up all direct expenses and has a place for the user to enter in an appropriate interest rate to calculate an opportunity cost for the direct expenses.  It assumes an average expense time of 6 months for direct expenses.</a:t>
          </a:r>
        </a:p>
        <a:p>
          <a:endParaRPr lang="en-US" sz="1200" b="1">
            <a:solidFill>
              <a:schemeClr val="dk1"/>
            </a:solidFill>
            <a:effectLst/>
            <a:latin typeface="+mn-lt"/>
            <a:ea typeface="+mn-ea"/>
            <a:cs typeface="+mn-cs"/>
          </a:endParaRPr>
        </a:p>
        <a:p>
          <a:r>
            <a:rPr lang="en-US" sz="1200" b="1">
              <a:solidFill>
                <a:schemeClr val="dk1"/>
              </a:solidFill>
              <a:effectLst/>
              <a:latin typeface="+mn-lt"/>
              <a:ea typeface="+mn-ea"/>
              <a:cs typeface="+mn-cs"/>
            </a:rPr>
            <a:t>Overhead expense categories are listed next in the spreadsheet tool</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Each overhead expense section has a place to enter an appropriate interest rate to calculate opportunity cost for that category.</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Home Raised Cows and Springing Heifers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In this section we have listed 4 age groups where the cows and heifers should have similar values based on their age.  Enter the number of cows in the herd that calved or should have calved in this production cycle for each age group and an average per head value for each age group.</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Breeding Livestock Purchases</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This section is for purchases of bulls and replacement females (heifers and cows).</a:t>
          </a:r>
        </a:p>
        <a:p>
          <a:pPr marL="171450" lvl="0" indent="-171450">
            <a:buFont typeface="Arial" panose="020B0604020202020204" pitchFamily="34" charset="0"/>
            <a:buChar char="•"/>
          </a:pPr>
          <a:r>
            <a:rPr lang="en-US" sz="1200">
              <a:solidFill>
                <a:schemeClr val="dk1"/>
              </a:solidFill>
              <a:effectLst/>
              <a:latin typeface="+mn-lt"/>
              <a:ea typeface="+mn-ea"/>
              <a:cs typeface="+mn-cs"/>
            </a:rPr>
            <a:t>The user can claim the entire cost in the first year or pro-rate the cost over the expected productive life of the animal.</a:t>
          </a:r>
        </a:p>
        <a:p>
          <a:pPr marL="171450" lvl="0" indent="-171450">
            <a:buFont typeface="Arial" panose="020B0604020202020204" pitchFamily="34" charset="0"/>
            <a:buChar char="•"/>
          </a:pPr>
          <a:r>
            <a:rPr lang="en-US" sz="1200">
              <a:solidFill>
                <a:schemeClr val="dk1"/>
              </a:solidFill>
              <a:effectLst/>
              <a:latin typeface="+mn-lt"/>
              <a:ea typeface="+mn-ea"/>
              <a:cs typeface="+mn-cs"/>
            </a:rPr>
            <a:t>If the operation purchases about the same amount of animals each year, it may be easiest to account for the entire cost in the purchase year.  If purchasing animals, a bull for example, is done every 2 years, pro-rating the cost over the useful life of the bull will help take fluctuations in costs out of the results when comparing over the years.</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Machinery, Equipment, Buildings, &amp; Facilities</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This section is used to estimate a value for fixed expenses used in the daily operations of the cow-calf enterprise.    This method is different than standard methods used by banks and the IRS for depreciation and/or return on assets.  This methodology estimates an annual cost of ownership/use looking forward needed to maintain the long term sustainability of the enterprise.</a:t>
          </a:r>
        </a:p>
        <a:p>
          <a:pPr marL="171450" lvl="0" indent="-171450">
            <a:buFont typeface="Arial" panose="020B0604020202020204" pitchFamily="34" charset="0"/>
            <a:buChar char="•"/>
          </a:pPr>
          <a:r>
            <a:rPr lang="en-US" sz="1200">
              <a:solidFill>
                <a:schemeClr val="dk1"/>
              </a:solidFill>
              <a:effectLst/>
              <a:latin typeface="+mn-lt"/>
              <a:ea typeface="+mn-ea"/>
              <a:cs typeface="+mn-cs"/>
            </a:rPr>
            <a:t>Reasonable estimates of current value, years of useful life remaining, and salvage or trade in values are all needed to estimate depreciation for machinery and similar equipment.  Percent allocated to cow-calf allows users to account for other uses.  For example, a tractor used for hauling manure may also be used 60% of the time for a crop enterprise.  In that case, the cow-calf enterprise is responsible for paying only 40% of the cost. </a:t>
          </a:r>
        </a:p>
        <a:p>
          <a:pPr marL="171450" lvl="0" indent="-171450">
            <a:buFont typeface="Arial" panose="020B0604020202020204" pitchFamily="34" charset="0"/>
            <a:buChar char="•"/>
          </a:pPr>
          <a:r>
            <a:rPr lang="en-US" sz="1200">
              <a:solidFill>
                <a:schemeClr val="dk1"/>
              </a:solidFill>
              <a:effectLst/>
              <a:latin typeface="+mn-lt"/>
              <a:ea typeface="+mn-ea"/>
              <a:cs typeface="+mn-cs"/>
            </a:rPr>
            <a:t>Do not include machinery costs for growing harvested feeds, those should be accounted for in market value of the homegrown feedstuffs.</a:t>
          </a:r>
        </a:p>
        <a:p>
          <a:pPr marL="171450" lvl="0" indent="-171450">
            <a:buFont typeface="Arial" panose="020B0604020202020204" pitchFamily="34" charset="0"/>
            <a:buChar char="•"/>
          </a:pPr>
          <a:r>
            <a:rPr lang="en-US" sz="1200">
              <a:solidFill>
                <a:schemeClr val="dk1"/>
              </a:solidFill>
              <a:effectLst/>
              <a:latin typeface="+mn-lt"/>
              <a:ea typeface="+mn-ea"/>
              <a:cs typeface="+mn-cs"/>
            </a:rPr>
            <a:t>Include machinery costs for getting feed from storage to the cattle, and machinery costs for manure removal and spreading, and taking the bedding from storage to putting it in the pens for the cattle.</a:t>
          </a:r>
        </a:p>
        <a:p>
          <a:pPr marL="171450" lvl="0" indent="-171450">
            <a:buFont typeface="Arial" panose="020B0604020202020204" pitchFamily="34" charset="0"/>
            <a:buChar char="•"/>
          </a:pPr>
          <a:r>
            <a:rPr lang="en-US" sz="1200">
              <a:solidFill>
                <a:schemeClr val="dk1"/>
              </a:solidFill>
              <a:effectLst/>
              <a:latin typeface="+mn-lt"/>
              <a:ea typeface="+mn-ea"/>
              <a:cs typeface="+mn-cs"/>
            </a:rPr>
            <a:t>Equipment for hauling the cattle (trucks and trailers), and working the cattle (chutes and panels), should be included.</a:t>
          </a:r>
        </a:p>
        <a:p>
          <a:pPr marL="171450" lvl="0" indent="-171450">
            <a:buFont typeface="Arial" panose="020B0604020202020204" pitchFamily="34" charset="0"/>
            <a:buChar char="•"/>
          </a:pPr>
          <a:r>
            <a:rPr lang="en-US" sz="1200">
              <a:solidFill>
                <a:schemeClr val="dk1"/>
              </a:solidFill>
              <a:effectLst/>
              <a:latin typeface="+mn-lt"/>
              <a:ea typeface="+mn-ea"/>
              <a:cs typeface="+mn-cs"/>
            </a:rPr>
            <a:t>For buildings we are assuming an ending value of zero. A reasonable value for the buildings and years of useful life will be needed to estimate an annual cost. One option would be to input a building replacement cost (consider what the building is used for, not what it may have originally been built for when determining a replacement cost) and assign an estimated total years of useful life if it was new. It is up to the user to determine how they assign reasonable values and years of useful life for buildings.  If a building is used 7 months of the year for the cow calf operation and stands empty the other five months, the entire annual cost should be charged to the cow calf enterprise.</a:t>
          </a:r>
        </a:p>
        <a:p>
          <a:pPr marL="171450" lvl="0" indent="-171450">
            <a:buFont typeface="Arial" panose="020B0604020202020204" pitchFamily="34" charset="0"/>
            <a:buChar char="•"/>
          </a:pPr>
          <a:r>
            <a:rPr lang="en-US" sz="1200">
              <a:solidFill>
                <a:schemeClr val="dk1"/>
              </a:solidFill>
              <a:effectLst/>
              <a:latin typeface="+mn-lt"/>
              <a:ea typeface="+mn-ea"/>
              <a:cs typeface="+mn-cs"/>
            </a:rPr>
            <a:t>Building costs to include are feed storage, livestock housing and feeding, handling facilities, and machine storage of equipment used for daily cow-calf chores.</a:t>
          </a:r>
        </a:p>
        <a:p>
          <a:pPr marL="171450" lvl="0" indent="-171450">
            <a:buFont typeface="Arial" panose="020B0604020202020204" pitchFamily="34" charset="0"/>
            <a:buChar char="•"/>
          </a:pPr>
          <a:r>
            <a:rPr lang="en-US" sz="1200">
              <a:solidFill>
                <a:schemeClr val="dk1"/>
              </a:solidFill>
              <a:effectLst/>
              <a:latin typeface="+mn-lt"/>
              <a:ea typeface="+mn-ea"/>
              <a:cs typeface="+mn-cs"/>
            </a:rPr>
            <a:t>Using standard practice, machinery and equipment is depreciated out over 10 years and buildings over 20 years.</a:t>
          </a:r>
        </a:p>
        <a:p>
          <a:pPr marL="171450" lvl="0" indent="-171450">
            <a:buFont typeface="Arial" panose="020B0604020202020204" pitchFamily="34" charset="0"/>
            <a:buChar char="•"/>
          </a:pPr>
          <a:r>
            <a:rPr lang="en-US" sz="1200">
              <a:solidFill>
                <a:schemeClr val="dk1"/>
              </a:solidFill>
              <a:effectLst/>
              <a:latin typeface="+mn-lt"/>
              <a:ea typeface="+mn-ea"/>
              <a:cs typeface="+mn-cs"/>
            </a:rPr>
            <a:t>The user can determine how long they want to them out but needs to use reasonable values in order to get accurate estimates on productions costs.</a:t>
          </a: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Useful link</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Arial" panose="020B0604020202020204" pitchFamily="34" charset="0"/>
            </a:rPr>
            <a:t>“</a:t>
          </a:r>
          <a:r>
            <a:rPr lang="en-US" sz="1200">
              <a:effectLst/>
              <a:latin typeface="Calibri" panose="020F0502020204030204" pitchFamily="34" charset="0"/>
              <a:ea typeface="Calibri" panose="020F0502020204030204" pitchFamily="34" charset="0"/>
              <a:cs typeface="Times New Roman" panose="02020603050405020304" pitchFamily="18" charset="0"/>
            </a:rPr>
            <a:t>Building Cost Estimates-Beef Related Facilities”</a:t>
          </a:r>
          <a:r>
            <a:rPr lang="en-US" sz="1200">
              <a:effectLst/>
              <a:latin typeface="Calibri" panose="020F0502020204030204" pitchFamily="34" charset="0"/>
              <a:ea typeface="Calibri" panose="020F0502020204030204" pitchFamily="34" charset="0"/>
              <a:cs typeface="Arial" panose="020B0604020202020204" pitchFamily="34" charset="0"/>
            </a:rPr>
            <a:t> </a:t>
          </a:r>
          <a:r>
            <a:rPr lang="en-US" sz="1200" u="sng">
              <a:solidFill>
                <a:srgbClr val="0563C1"/>
              </a:solidFill>
              <a:effectLst/>
              <a:latin typeface="Calibri" panose="020F0502020204030204" pitchFamily="34" charset="0"/>
              <a:ea typeface="Calibri" panose="020F050202020403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https://fyi.uwex.edu/wbic/files/2016/03/building-costs-factsheet-beef-03-01-16.pdf</a:t>
          </a:r>
          <a:r>
            <a:rPr lang="en-US" sz="1200">
              <a:effectLst/>
              <a:latin typeface="Calibri" panose="020F0502020204030204" pitchFamily="34" charset="0"/>
              <a:ea typeface="Calibri" panose="020F0502020204030204" pitchFamily="34" charset="0"/>
              <a:cs typeface="Arial" panose="020B0604020202020204" pitchFamily="34" charset="0"/>
            </a:rPr>
            <a:t> </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Other Overhead Expenses</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pPr>
          <a:r>
            <a:rPr lang="en-US" sz="1200">
              <a:effectLst/>
              <a:latin typeface="Calibri" panose="020F0502020204030204" pitchFamily="34" charset="0"/>
              <a:ea typeface="Calibri" panose="020F0502020204030204" pitchFamily="34" charset="0"/>
              <a:cs typeface="Arial" panose="020B0604020202020204" pitchFamily="34" charset="0"/>
            </a:rPr>
            <a:t>Real Estate and Personal Property Taxes and Insurance are entered in this section.</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Opportunity Cost on Owned Pasture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pPr>
          <a:r>
            <a:rPr lang="en-US" sz="1200">
              <a:effectLst/>
              <a:latin typeface="Calibri" panose="020F0502020204030204" pitchFamily="34" charset="0"/>
              <a:ea typeface="Calibri" panose="020F0502020204030204" pitchFamily="34" charset="0"/>
              <a:cs typeface="Arial" panose="020B0604020202020204" pitchFamily="34" charset="0"/>
            </a:rPr>
            <a:t>A per acre value and appropriate interest rate are entered for all acres of owned pasture.</a:t>
          </a:r>
        </a:p>
        <a:p>
          <a:pPr marL="342900" marR="0" lvl="0" indent="-342900">
            <a:lnSpc>
              <a:spcPct val="107000"/>
            </a:lnSpc>
            <a:spcBef>
              <a:spcPts val="0"/>
            </a:spcBef>
            <a:spcAft>
              <a:spcPts val="800"/>
            </a:spcAft>
            <a:buFont typeface="Symbol" panose="05050102010706020507" pitchFamily="18" charset="2"/>
            <a:buChar char=""/>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US" sz="1400" b="1">
              <a:solidFill>
                <a:schemeClr val="dk1"/>
              </a:solidFill>
              <a:effectLst/>
              <a:latin typeface="+mn-lt"/>
              <a:ea typeface="+mn-ea"/>
              <a:cs typeface="+mn-cs"/>
            </a:rPr>
            <a:t>Returns and Break-evens</a:t>
          </a:r>
          <a:endParaRPr lang="en-US" sz="14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en-US" sz="1200" b="1">
              <a:solidFill>
                <a:schemeClr val="dk1"/>
              </a:solidFill>
              <a:effectLst/>
              <a:latin typeface="+mn-lt"/>
              <a:ea typeface="+mn-ea"/>
              <a:cs typeface="+mn-cs"/>
            </a:rPr>
            <a:t>Costs of production and breakeven can be calculated using two different methods in this spreadsheet: Enterprise Budget Method and Cash Flow Method.  </a:t>
          </a:r>
          <a:endParaRPr lang="en-US" sz="1200">
            <a:solidFill>
              <a:schemeClr val="dk1"/>
            </a:solidFill>
            <a:effectLst/>
            <a:latin typeface="+mn-lt"/>
            <a:ea typeface="+mn-ea"/>
            <a:cs typeface="+mn-cs"/>
          </a:endParaRPr>
        </a:p>
        <a:p>
          <a:r>
            <a:rPr lang="en-US" sz="1200" b="1">
              <a:solidFill>
                <a:schemeClr val="dk1"/>
              </a:solidFill>
              <a:effectLst/>
              <a:latin typeface="+mn-lt"/>
              <a:ea typeface="+mn-ea"/>
              <a:cs typeface="+mn-cs"/>
            </a:rPr>
            <a:t> </a:t>
          </a:r>
          <a:endParaRPr lang="en-US" sz="1200">
            <a:solidFill>
              <a:schemeClr val="dk1"/>
            </a:solidFill>
            <a:effectLst/>
            <a:latin typeface="+mn-lt"/>
            <a:ea typeface="+mn-ea"/>
            <a:cs typeface="+mn-cs"/>
          </a:endParaRPr>
        </a:p>
        <a:p>
          <a:pPr marL="171450" lvl="0" indent="-171450">
            <a:buFont typeface="Arial" panose="020B0604020202020204" pitchFamily="34" charset="0"/>
            <a:buChar char="•"/>
          </a:pPr>
          <a:r>
            <a:rPr lang="en-US" sz="1200">
              <a:solidFill>
                <a:schemeClr val="dk1"/>
              </a:solidFill>
              <a:effectLst/>
              <a:latin typeface="+mn-lt"/>
              <a:ea typeface="+mn-ea"/>
              <a:cs typeface="+mn-cs"/>
            </a:rPr>
            <a:t>Enterprise budget method includes the following expenses: depreciation, pro-rated purchased breeding stock expenses, cash expenses (except cash purchased overhead items), all opportunity cost. It does not include intermediate and long term debt principal payments.</a:t>
          </a:r>
        </a:p>
        <a:p>
          <a:pPr marL="0" indent="0">
            <a:buFontTx/>
            <a:buNone/>
          </a:pPr>
          <a:r>
            <a:rPr lang="en-US" sz="1200">
              <a:solidFill>
                <a:schemeClr val="dk1"/>
              </a:solidFill>
              <a:effectLst/>
              <a:latin typeface="+mn-lt"/>
              <a:ea typeface="+mn-ea"/>
              <a:cs typeface="+mn-cs"/>
            </a:rPr>
            <a:t> </a:t>
          </a:r>
        </a:p>
        <a:p>
          <a:pPr marL="171450" lvl="0" indent="-171450">
            <a:buFont typeface="Arial" panose="020B0604020202020204" pitchFamily="34" charset="0"/>
            <a:buChar char="•"/>
          </a:pPr>
          <a:r>
            <a:rPr lang="en-US" sz="1200">
              <a:solidFill>
                <a:schemeClr val="dk1"/>
              </a:solidFill>
              <a:effectLst/>
              <a:latin typeface="+mn-lt"/>
              <a:ea typeface="+mn-ea"/>
              <a:cs typeface="+mn-cs"/>
            </a:rPr>
            <a:t>Cashflow budget method includes the following expenses: cash expenses (including breeding stock and capital purchases made with cash on hand in that production year), home grown feed costs, principal payments, It does NOT include depreciation, and opportunity costs on overhead.</a:t>
          </a:r>
        </a:p>
        <a:p>
          <a:pPr marL="0" indent="0">
            <a:buFontTx/>
            <a:buNone/>
          </a:pPr>
          <a:r>
            <a:rPr lang="en-US" sz="1200" b="1">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100" b="1">
              <a:solidFill>
                <a:schemeClr val="dk1"/>
              </a:solidFill>
              <a:effectLst/>
              <a:latin typeface="+mn-lt"/>
              <a:ea typeface="+mn-ea"/>
              <a:cs typeface="+mn-cs"/>
            </a:rPr>
            <a:t>Intermediate and Long Term Debt Service, and Interest Payments on Operating Loans </a:t>
          </a:r>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These three cash expenses are used for the Cash Flow Method profit loss and breakeven calculations</a:t>
          </a:r>
        </a:p>
        <a:p>
          <a:pPr marL="171450" lvl="0" indent="-171450">
            <a:buFont typeface="Arial" panose="020B0604020202020204" pitchFamily="34" charset="0"/>
            <a:buChar char="•"/>
          </a:pPr>
          <a:r>
            <a:rPr lang="en-US" sz="1100">
              <a:solidFill>
                <a:schemeClr val="dk1"/>
              </a:solidFill>
              <a:effectLst/>
              <a:latin typeface="+mn-lt"/>
              <a:ea typeface="+mn-ea"/>
              <a:cs typeface="+mn-cs"/>
            </a:rPr>
            <a:t>Intermediate and long term debt principal and interest payments, and operating loan interest payments should be entered along with the percent allocation expected to be paid by the cow calf enterprise, OR, only the portion of these payments expected to be paid for by the cow calf enterprise can be entered and use 100% in the percent allocated to cow calf column.</a:t>
          </a:r>
        </a:p>
        <a:p>
          <a:pPr marL="342900" marR="0" lvl="0" indent="-342900">
            <a:lnSpc>
              <a:spcPct val="107000"/>
            </a:lnSpc>
            <a:spcBef>
              <a:spcPts val="0"/>
            </a:spcBef>
            <a:spcAft>
              <a:spcPts val="800"/>
            </a:spcAft>
            <a:buFont typeface="Symbol" panose="05050102010706020507" pitchFamily="18" charset="2"/>
            <a:buChar char=""/>
          </a:pP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b="1">
              <a:solidFill>
                <a:schemeClr val="dk1"/>
              </a:solidFill>
              <a:effectLst/>
              <a:latin typeface="+mn-lt"/>
              <a:ea typeface="+mn-ea"/>
              <a:cs typeface="+mn-cs"/>
            </a:rPr>
            <a:t>Sensitivity Analysis</a:t>
          </a:r>
          <a:endParaRPr lang="en-US" sz="1100">
            <a:solidFill>
              <a:schemeClr val="dk1"/>
            </a:solidFill>
            <a:effectLst/>
            <a:latin typeface="+mn-lt"/>
            <a:ea typeface="+mn-ea"/>
            <a:cs typeface="+mn-cs"/>
          </a:endParaRPr>
        </a:p>
        <a:p>
          <a:pPr marL="171450" indent="-171450">
            <a:buFont typeface="Arial" panose="020B0604020202020204" pitchFamily="34" charset="0"/>
            <a:buChar char="•"/>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Sensitivity analysis tables are provided for both enterprise budget method and cash flow method and they show breakeven changes on a per cwt. of feeder calf sale price from user defined percentage changes in calculated breakeven sale price per cwt and feed cost per cwt.  Users can enter in any percent change they want to consider in the percent difference columns and rows in the table.  When entering the value it is necessary to enter – sign for a negative number.  Those cells are set as percentage, so they will take care of converting whole numbers to actual percent in the calculations. </a:t>
          </a:r>
        </a:p>
        <a:p>
          <a:pPr marL="342900" marR="0" lvl="0" indent="-342900">
            <a:lnSpc>
              <a:spcPct val="107000"/>
            </a:lnSpc>
            <a:spcBef>
              <a:spcPts val="0"/>
            </a:spcBef>
            <a:spcAft>
              <a:spcPts val="800"/>
            </a:spcAft>
            <a:buFont typeface="Symbol" panose="05050102010706020507" pitchFamily="18" charset="2"/>
            <a:buChar char=""/>
          </a:pP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pPr marL="171450" lvl="0" indent="-171450">
            <a:buFont typeface="Arial" panose="020B0604020202020204" pitchFamily="34" charset="0"/>
            <a:buChar char="•"/>
          </a:pPr>
          <a:endParaRPr lang="en-US" sz="12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714375</xdr:colOff>
      <xdr:row>3</xdr:row>
      <xdr:rowOff>140920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705100" cy="712419"/>
        </a:xfrm>
        <a:prstGeom prst="rect">
          <a:avLst/>
        </a:prstGeom>
      </xdr:spPr>
    </xdr:pic>
    <xdr:clientData/>
  </xdr:twoCellAnchor>
  <xdr:oneCellAnchor>
    <xdr:from>
      <xdr:col>1</xdr:col>
      <xdr:colOff>19050</xdr:colOff>
      <xdr:row>21</xdr:row>
      <xdr:rowOff>28575</xdr:rowOff>
    </xdr:from>
    <xdr:ext cx="8898270" cy="43678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11363" y="5267325"/>
          <a:ext cx="8898270" cy="43678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Value</a:t>
          </a:r>
          <a:r>
            <a:rPr lang="en-US" sz="1100" baseline="0"/>
            <a:t> per unit of for home grown feed can either be a market value that it could be sold for, or a calculated cost of production for your farm.</a:t>
          </a:r>
        </a:p>
        <a:p>
          <a:r>
            <a:rPr lang="en-US" sz="1100" baseline="0"/>
            <a:t> It would be best to use the same process for all feeds.  The market value method might over value homegrown feed, depending on your cost to grow it.</a:t>
          </a:r>
          <a:endParaRPr lang="en-US" sz="1100"/>
        </a:p>
      </xdr:txBody>
    </xdr:sp>
    <xdr:clientData/>
  </xdr:oneCellAnchor>
  <xdr:twoCellAnchor>
    <xdr:from>
      <xdr:col>1</xdr:col>
      <xdr:colOff>134937</xdr:colOff>
      <xdr:row>149</xdr:row>
      <xdr:rowOff>95250</xdr:rowOff>
    </xdr:from>
    <xdr:to>
      <xdr:col>8</xdr:col>
      <xdr:colOff>1333500</xdr:colOff>
      <xdr:row>152</xdr:row>
      <xdr:rowOff>166687</xdr:rowOff>
    </xdr:to>
    <xdr:sp macro="" textlink="">
      <xdr:nvSpPr>
        <xdr:cNvPr id="3" name="TextBox 2">
          <a:extLst>
            <a:ext uri="{FF2B5EF4-FFF2-40B4-BE49-F238E27FC236}">
              <a16:creationId xmlns:a16="http://schemas.microsoft.com/office/drawing/2014/main" id="{65254B3E-127B-4D06-87CA-D2096BF0471D}"/>
            </a:ext>
          </a:extLst>
        </xdr:cNvPr>
        <xdr:cNvSpPr txBox="1"/>
      </xdr:nvSpPr>
      <xdr:spPr>
        <a:xfrm>
          <a:off x="2127250" y="36996688"/>
          <a:ext cx="9342438" cy="7858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 method used for calculating overhead expenses for Machinery</a:t>
          </a:r>
          <a:r>
            <a:rPr lang="en-US" sz="1200" baseline="0"/>
            <a:t> and Buildings in this spreadsheet tool is different than standard methods used by banks and IRS for depreciation.  This methodology estimates an immediate and forward looking annual cost of ownership of these items, needed for long term sustainability of the enterprise.  This method assigns an annual cost by spreading a reasonable value for the asset out over it's useful service life.</a:t>
          </a:r>
          <a:endParaRPr lang="en-US" sz="1200"/>
        </a:p>
      </xdr:txBody>
    </xdr:sp>
    <xdr:clientData/>
  </xdr:twoCellAnchor>
  <xdr:oneCellAnchor>
    <xdr:from>
      <xdr:col>0</xdr:col>
      <xdr:colOff>381000</xdr:colOff>
      <xdr:row>291</xdr:row>
      <xdr:rowOff>10584</xdr:rowOff>
    </xdr:from>
    <xdr:ext cx="12581586" cy="280205"/>
    <xdr:sp macro="" textlink="">
      <xdr:nvSpPr>
        <xdr:cNvPr id="4" name="TextBox 3">
          <a:extLst>
            <a:ext uri="{FF2B5EF4-FFF2-40B4-BE49-F238E27FC236}">
              <a16:creationId xmlns:a16="http://schemas.microsoft.com/office/drawing/2014/main" id="{FCBE063C-AE17-4549-B726-4FCFACB30B33}"/>
            </a:ext>
          </a:extLst>
        </xdr:cNvPr>
        <xdr:cNvSpPr txBox="1"/>
      </xdr:nvSpPr>
      <xdr:spPr>
        <a:xfrm>
          <a:off x="381000" y="72442917"/>
          <a:ext cx="1258158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t>“An EEO/AA employer, University of Wisconsin Extension provides equal opportunities in employment and programming, including Title VI,  Title IX and American with Disabilities (ADA) requirements.”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27DF0-0DD4-4456-9879-D974E5716F06}">
  <sheetPr>
    <tabColor rgb="FFFF0000"/>
  </sheetPr>
  <dimension ref="A5"/>
  <sheetViews>
    <sheetView workbookViewId="0">
      <selection activeCell="J4" sqref="J4"/>
    </sheetView>
  </sheetViews>
  <sheetFormatPr defaultRowHeight="15" x14ac:dyDescent="0.25"/>
  <sheetData>
    <row r="5" spans="1:1" ht="18.75" x14ac:dyDescent="0.3">
      <c r="A5" s="31" t="s">
        <v>201</v>
      </c>
    </row>
  </sheetData>
  <sheetProtection algorithmName="SHA-512" hashValue="3++vcBnrklqJgC7zBJcdYnXi4hfvvNX0p/MXv+h0xZ4LcaAnmee8oqFfWKfZsY9eqfDhd/SDrBYlCPCLVt1AFw==" saltValue="Vr780sVrzLHLplmKYde9k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3:Z1075"/>
  <sheetViews>
    <sheetView tabSelected="1" zoomScaleNormal="100" workbookViewId="0">
      <selection activeCell="H8" sqref="H8"/>
    </sheetView>
  </sheetViews>
  <sheetFormatPr defaultColWidth="15.140625" defaultRowHeight="15" customHeight="1" x14ac:dyDescent="0.25"/>
  <cols>
    <col min="1" max="1" width="29.85546875" customWidth="1"/>
    <col min="2" max="2" width="14.140625" customWidth="1"/>
    <col min="3" max="3" width="18.42578125" customWidth="1"/>
    <col min="4" max="4" width="17.7109375" customWidth="1"/>
    <col min="5" max="5" width="17" customWidth="1"/>
    <col min="6" max="6" width="17.42578125" customWidth="1"/>
    <col min="7" max="7" width="20.42578125" customWidth="1"/>
    <col min="8" max="8" width="16.85546875" customWidth="1"/>
    <col min="9" max="9" width="21.28515625" customWidth="1"/>
    <col min="10" max="26" width="21.42578125" customWidth="1"/>
  </cols>
  <sheetData>
    <row r="3" spans="1:26" ht="15" customHeight="1" x14ac:dyDescent="0.25">
      <c r="D3" s="82" t="s">
        <v>187</v>
      </c>
      <c r="E3" s="72"/>
      <c r="F3" s="72"/>
      <c r="G3" s="82"/>
      <c r="H3" s="72"/>
      <c r="I3" s="72"/>
    </row>
    <row r="4" spans="1:26" ht="15" customHeight="1" x14ac:dyDescent="0.25">
      <c r="D4" s="82" t="s">
        <v>188</v>
      </c>
      <c r="E4" s="72"/>
      <c r="F4" s="72"/>
      <c r="G4" s="72"/>
      <c r="H4" s="72"/>
      <c r="I4" s="72"/>
    </row>
    <row r="6" spans="1:26" ht="18.75" customHeight="1" x14ac:dyDescent="0.3">
      <c r="A6" s="31" t="s">
        <v>201</v>
      </c>
      <c r="B6" s="2"/>
      <c r="C6" s="2"/>
      <c r="D6" s="2"/>
      <c r="E6" s="2"/>
      <c r="F6" s="2"/>
      <c r="G6" s="2"/>
      <c r="H6" s="2"/>
      <c r="I6" s="2"/>
      <c r="J6" s="2"/>
      <c r="K6" s="2"/>
      <c r="L6" s="2"/>
      <c r="M6" s="2"/>
      <c r="N6" s="2"/>
      <c r="O6" s="2"/>
      <c r="P6" s="2"/>
      <c r="Q6" s="2"/>
      <c r="R6" s="2"/>
      <c r="S6" s="2"/>
      <c r="T6" s="2"/>
      <c r="U6" s="2"/>
      <c r="V6" s="2"/>
      <c r="W6" s="2"/>
      <c r="X6" s="2"/>
      <c r="Y6" s="2"/>
      <c r="Z6" s="2"/>
    </row>
    <row r="7" spans="1:26" ht="18.75" customHeight="1" x14ac:dyDescent="0.3">
      <c r="A7" s="2"/>
      <c r="B7" s="2"/>
      <c r="C7" s="2" t="s">
        <v>0</v>
      </c>
      <c r="D7" s="2"/>
      <c r="E7" s="2"/>
      <c r="F7" s="2"/>
      <c r="G7" s="2"/>
      <c r="H7" s="2"/>
      <c r="I7" s="2"/>
      <c r="J7" s="2"/>
      <c r="K7" s="2"/>
      <c r="L7" s="2"/>
      <c r="M7" s="2"/>
      <c r="N7" s="2"/>
      <c r="O7" s="2"/>
      <c r="P7" s="2"/>
      <c r="Q7" s="2"/>
      <c r="R7" s="2"/>
      <c r="S7" s="2"/>
      <c r="T7" s="2"/>
      <c r="U7" s="2"/>
      <c r="V7" s="2"/>
      <c r="W7" s="2"/>
      <c r="X7" s="2"/>
      <c r="Y7" s="2"/>
      <c r="Z7" s="2"/>
    </row>
    <row r="8" spans="1:26" ht="18.75" customHeight="1" x14ac:dyDescent="0.3">
      <c r="A8" s="31" t="s">
        <v>153</v>
      </c>
      <c r="B8" s="2"/>
      <c r="C8" s="2"/>
      <c r="D8" s="2"/>
      <c r="E8" s="2"/>
      <c r="F8" s="161"/>
      <c r="G8" s="163"/>
      <c r="H8" s="195">
        <v>90</v>
      </c>
      <c r="I8" s="161"/>
      <c r="J8" s="2"/>
      <c r="K8" s="2"/>
      <c r="L8" s="2"/>
      <c r="M8" s="2"/>
      <c r="N8" s="2"/>
      <c r="O8" s="2"/>
      <c r="P8" s="2"/>
      <c r="Q8" s="2"/>
      <c r="R8" s="2"/>
      <c r="S8" s="2"/>
      <c r="T8" s="2"/>
      <c r="U8" s="2"/>
      <c r="V8" s="2"/>
      <c r="W8" s="2"/>
      <c r="X8" s="2"/>
      <c r="Y8" s="2"/>
      <c r="Z8" s="2"/>
    </row>
    <row r="9" spans="1:26" s="49" customFormat="1" ht="18.75" customHeight="1" x14ac:dyDescent="0.3">
      <c r="A9" s="31"/>
      <c r="B9" s="31"/>
      <c r="C9" s="31"/>
      <c r="D9" s="31"/>
      <c r="E9" s="31"/>
      <c r="F9" s="90"/>
      <c r="G9" s="31"/>
      <c r="H9" s="31"/>
      <c r="I9" s="31"/>
      <c r="J9" s="31"/>
      <c r="K9" s="31"/>
      <c r="L9" s="31"/>
      <c r="M9" s="31"/>
      <c r="N9" s="31"/>
      <c r="O9" s="31"/>
      <c r="P9" s="31"/>
      <c r="Q9" s="31"/>
      <c r="R9" s="31"/>
      <c r="S9" s="31"/>
      <c r="T9" s="31"/>
      <c r="U9" s="31"/>
      <c r="V9" s="31"/>
      <c r="W9" s="31"/>
      <c r="X9" s="31"/>
      <c r="Y9" s="31"/>
      <c r="Z9" s="31"/>
    </row>
    <row r="10" spans="1:26" s="49" customFormat="1" ht="18.75" customHeight="1" x14ac:dyDescent="0.3">
      <c r="A10" s="127" t="s">
        <v>112</v>
      </c>
      <c r="B10" s="131"/>
      <c r="C10" s="131"/>
      <c r="D10" s="131"/>
      <c r="E10" s="131"/>
      <c r="F10" s="132"/>
      <c r="G10" s="131"/>
      <c r="H10" s="131"/>
      <c r="I10" s="131"/>
      <c r="J10" s="31"/>
      <c r="K10" s="31"/>
      <c r="L10" s="31"/>
      <c r="M10" s="31"/>
      <c r="N10" s="31"/>
      <c r="O10" s="31"/>
      <c r="P10" s="31"/>
      <c r="Q10" s="31"/>
      <c r="R10" s="31"/>
      <c r="S10" s="31"/>
      <c r="T10" s="31"/>
      <c r="U10" s="31"/>
      <c r="V10" s="31"/>
      <c r="W10" s="31"/>
      <c r="X10" s="31"/>
      <c r="Y10" s="31"/>
      <c r="Z10" s="31"/>
    </row>
    <row r="11" spans="1:26" ht="18.75" customHeight="1" x14ac:dyDescent="0.3">
      <c r="A11" s="2"/>
      <c r="B11" s="2"/>
      <c r="C11" s="2"/>
      <c r="D11" s="2"/>
      <c r="E11" s="2"/>
      <c r="F11" s="2"/>
      <c r="G11" s="2"/>
      <c r="H11" s="2"/>
      <c r="I11" s="3" t="s">
        <v>1</v>
      </c>
      <c r="J11" s="2"/>
      <c r="K11" s="2"/>
      <c r="L11" s="2"/>
      <c r="M11" s="2"/>
      <c r="N11" s="2"/>
      <c r="O11" s="2"/>
      <c r="P11" s="2"/>
      <c r="Q11" s="2"/>
      <c r="R11" s="2"/>
      <c r="S11" s="2"/>
      <c r="T11" s="2"/>
      <c r="U11" s="2"/>
      <c r="V11" s="2"/>
      <c r="W11" s="2"/>
      <c r="X11" s="2"/>
      <c r="Y11" s="2"/>
      <c r="Z11" s="2"/>
    </row>
    <row r="12" spans="1:26" ht="18.75" customHeight="1" x14ac:dyDescent="0.3">
      <c r="B12" s="1"/>
      <c r="C12" s="1"/>
      <c r="D12" s="2"/>
      <c r="E12" s="2"/>
      <c r="F12" s="2"/>
      <c r="G12" s="2"/>
      <c r="H12" s="2"/>
      <c r="I12" s="4">
        <f>F14+F15</f>
        <v>435</v>
      </c>
      <c r="J12" s="2"/>
      <c r="K12" s="2"/>
      <c r="L12" s="2"/>
      <c r="M12" s="2"/>
      <c r="N12" s="2"/>
      <c r="O12" s="2"/>
      <c r="P12" s="2"/>
      <c r="Q12" s="2"/>
      <c r="R12" s="2"/>
      <c r="S12" s="2"/>
      <c r="T12" s="2"/>
      <c r="U12" s="2"/>
      <c r="V12" s="2"/>
      <c r="W12" s="2"/>
      <c r="X12" s="2"/>
      <c r="Y12" s="2"/>
      <c r="Z12" s="2"/>
    </row>
    <row r="13" spans="1:26" ht="18.75" customHeight="1" x14ac:dyDescent="0.3">
      <c r="A13" s="3" t="s">
        <v>2</v>
      </c>
      <c r="B13" s="5" t="s">
        <v>3</v>
      </c>
      <c r="C13" s="5" t="s">
        <v>4</v>
      </c>
      <c r="D13" s="5" t="s">
        <v>5</v>
      </c>
      <c r="E13" s="5" t="s">
        <v>6</v>
      </c>
      <c r="F13" s="5" t="s">
        <v>7</v>
      </c>
      <c r="G13" s="5" t="s">
        <v>8</v>
      </c>
      <c r="H13" s="5" t="s">
        <v>9</v>
      </c>
      <c r="I13" s="5" t="s">
        <v>10</v>
      </c>
      <c r="J13" s="2"/>
      <c r="K13" s="2"/>
      <c r="L13" s="2"/>
      <c r="M13" s="2"/>
      <c r="N13" s="2"/>
      <c r="O13" s="2"/>
      <c r="P13" s="2"/>
      <c r="Q13" s="2"/>
      <c r="R13" s="2"/>
      <c r="S13" s="2"/>
      <c r="T13" s="2"/>
      <c r="U13" s="2"/>
      <c r="V13" s="2"/>
      <c r="W13" s="2"/>
      <c r="X13" s="2"/>
      <c r="Y13" s="2"/>
      <c r="Z13" s="2"/>
    </row>
    <row r="14" spans="1:26" ht="18.75" customHeight="1" x14ac:dyDescent="0.3">
      <c r="A14" s="3" t="s">
        <v>11</v>
      </c>
      <c r="B14" s="53">
        <v>45</v>
      </c>
      <c r="C14" s="53">
        <v>6</v>
      </c>
      <c r="D14" s="3" t="s">
        <v>12</v>
      </c>
      <c r="E14" s="54">
        <v>122</v>
      </c>
      <c r="F14" s="6">
        <f t="shared" ref="F14:F15" si="0">C14*B14</f>
        <v>270</v>
      </c>
      <c r="G14" s="16">
        <f t="shared" ref="G14:G15" si="1">E14*F14</f>
        <v>32940</v>
      </c>
      <c r="H14" s="11">
        <f>G14/$H$8</f>
        <v>366</v>
      </c>
      <c r="I14" s="12">
        <f>G14/I12</f>
        <v>75.724137931034477</v>
      </c>
      <c r="J14" s="2"/>
      <c r="K14" s="2"/>
      <c r="L14" s="2"/>
      <c r="M14" s="2"/>
      <c r="N14" s="2"/>
      <c r="O14" s="2"/>
      <c r="P14" s="2"/>
      <c r="Q14" s="2"/>
      <c r="R14" s="2"/>
      <c r="S14" s="2"/>
      <c r="T14" s="2"/>
      <c r="U14" s="2"/>
      <c r="V14" s="2"/>
      <c r="W14" s="2"/>
      <c r="X14" s="2"/>
      <c r="Y14" s="2"/>
      <c r="Z14" s="2"/>
    </row>
    <row r="15" spans="1:26" ht="18.75" customHeight="1" x14ac:dyDescent="0.3">
      <c r="A15" s="3" t="s">
        <v>13</v>
      </c>
      <c r="B15" s="53">
        <v>30</v>
      </c>
      <c r="C15" s="53">
        <v>5.5</v>
      </c>
      <c r="D15" s="3" t="s">
        <v>12</v>
      </c>
      <c r="E15" s="54">
        <v>116</v>
      </c>
      <c r="F15" s="6">
        <f t="shared" si="0"/>
        <v>165</v>
      </c>
      <c r="G15" s="16">
        <f t="shared" si="1"/>
        <v>19140</v>
      </c>
      <c r="H15" s="11">
        <f t="shared" ref="H15:H18" si="2">G15/$H$8</f>
        <v>212.66666666666666</v>
      </c>
      <c r="I15" s="12">
        <f>G15/I12</f>
        <v>44</v>
      </c>
      <c r="J15" s="2"/>
      <c r="K15" s="2"/>
      <c r="L15" s="2"/>
      <c r="M15" s="2"/>
      <c r="N15" s="2"/>
      <c r="O15" s="2"/>
      <c r="P15" s="2"/>
      <c r="Q15" s="2"/>
      <c r="R15" s="2"/>
      <c r="S15" s="2"/>
      <c r="T15" s="2"/>
      <c r="U15" s="2"/>
      <c r="V15" s="2"/>
      <c r="W15" s="2"/>
      <c r="X15" s="2"/>
      <c r="Y15" s="2"/>
      <c r="Z15" s="2"/>
    </row>
    <row r="16" spans="1:26" ht="18.75" customHeight="1" x14ac:dyDescent="0.3">
      <c r="A16" s="3" t="s">
        <v>14</v>
      </c>
      <c r="B16" s="53">
        <v>14</v>
      </c>
      <c r="C16" s="27"/>
      <c r="D16" s="19"/>
      <c r="E16" s="42"/>
      <c r="F16" s="20"/>
      <c r="G16" s="55">
        <v>12000</v>
      </c>
      <c r="H16" s="11">
        <f t="shared" si="2"/>
        <v>133.33333333333334</v>
      </c>
      <c r="I16" s="12">
        <f>G16/I12</f>
        <v>27.586206896551722</v>
      </c>
      <c r="J16" s="2"/>
      <c r="K16" s="2"/>
      <c r="L16" s="2"/>
      <c r="M16" s="2"/>
      <c r="N16" s="2"/>
      <c r="O16" s="2"/>
      <c r="P16" s="2"/>
      <c r="Q16" s="2"/>
      <c r="R16" s="2"/>
      <c r="S16" s="2"/>
      <c r="T16" s="2"/>
      <c r="U16" s="2"/>
      <c r="V16" s="2"/>
      <c r="W16" s="2"/>
      <c r="X16" s="2"/>
      <c r="Y16" s="2"/>
      <c r="Z16" s="2"/>
    </row>
    <row r="17" spans="1:26" ht="18.75" customHeight="1" x14ac:dyDescent="0.3">
      <c r="A17" s="3" t="s">
        <v>15</v>
      </c>
      <c r="B17" s="53">
        <v>1</v>
      </c>
      <c r="C17" s="27"/>
      <c r="D17" s="19"/>
      <c r="E17" s="42"/>
      <c r="F17" s="20"/>
      <c r="G17" s="55">
        <v>1700</v>
      </c>
      <c r="H17" s="11">
        <f t="shared" si="2"/>
        <v>18.888888888888889</v>
      </c>
      <c r="I17" s="12">
        <f>G17/I12</f>
        <v>3.9080459770114944</v>
      </c>
      <c r="J17" s="2"/>
      <c r="K17" s="2"/>
      <c r="L17" s="2"/>
      <c r="M17" s="2"/>
      <c r="N17" s="2"/>
      <c r="O17" s="2"/>
      <c r="P17" s="2"/>
      <c r="Q17" s="2"/>
      <c r="R17" s="2"/>
      <c r="S17" s="2"/>
      <c r="T17" s="2"/>
      <c r="U17" s="2"/>
      <c r="V17" s="2"/>
      <c r="W17" s="2"/>
      <c r="X17" s="2"/>
      <c r="Y17" s="2"/>
      <c r="Z17" s="2"/>
    </row>
    <row r="18" spans="1:26" ht="18.75" customHeight="1" x14ac:dyDescent="0.3">
      <c r="A18" s="143" t="s">
        <v>109</v>
      </c>
      <c r="B18" s="63">
        <v>0</v>
      </c>
      <c r="C18" s="139"/>
      <c r="D18" s="140"/>
      <c r="E18" s="140"/>
      <c r="F18" s="141"/>
      <c r="G18" s="64">
        <v>0</v>
      </c>
      <c r="H18" s="11">
        <f t="shared" si="2"/>
        <v>0</v>
      </c>
      <c r="I18" s="12">
        <f>G18/I12</f>
        <v>0</v>
      </c>
      <c r="J18" s="2"/>
      <c r="K18" s="2"/>
      <c r="L18" s="2"/>
      <c r="M18" s="2"/>
      <c r="N18" s="2"/>
      <c r="O18" s="2"/>
      <c r="P18" s="2"/>
      <c r="Q18" s="2"/>
      <c r="R18" s="2"/>
      <c r="S18" s="2"/>
      <c r="T18" s="2"/>
      <c r="U18" s="2"/>
      <c r="V18" s="2"/>
      <c r="W18" s="2"/>
      <c r="X18" s="2"/>
      <c r="Y18" s="2"/>
      <c r="Z18" s="2"/>
    </row>
    <row r="19" spans="1:26" ht="18.75" customHeight="1" x14ac:dyDescent="0.3">
      <c r="A19" s="138" t="s">
        <v>16</v>
      </c>
      <c r="B19" s="138"/>
      <c r="C19" s="138"/>
      <c r="D19" s="138"/>
      <c r="E19" s="138"/>
      <c r="F19" s="144"/>
      <c r="G19" s="118">
        <f>SUM(G14:G18)</f>
        <v>65780</v>
      </c>
      <c r="H19" s="117">
        <f>SUM(H14:H18)</f>
        <v>730.88888888888891</v>
      </c>
      <c r="I19" s="15">
        <f>SUM(I14:I18)</f>
        <v>151.21839080459768</v>
      </c>
      <c r="J19" s="1"/>
      <c r="K19" s="1"/>
      <c r="L19" s="1"/>
      <c r="M19" s="1"/>
      <c r="N19" s="1"/>
      <c r="O19" s="1"/>
      <c r="P19" s="1"/>
      <c r="Q19" s="1"/>
      <c r="R19" s="1"/>
      <c r="S19" s="1"/>
      <c r="T19" s="1"/>
      <c r="U19" s="1"/>
      <c r="V19" s="1"/>
      <c r="W19" s="1"/>
      <c r="X19" s="1"/>
      <c r="Y19" s="1"/>
      <c r="Z19" s="1"/>
    </row>
    <row r="20" spans="1:26" ht="18.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75" customHeight="1" x14ac:dyDescent="0.3">
      <c r="A21" s="127" t="s">
        <v>17</v>
      </c>
      <c r="B21" s="126"/>
      <c r="C21" s="126"/>
      <c r="D21" s="126"/>
      <c r="E21" s="126"/>
      <c r="F21" s="126"/>
      <c r="G21" s="126"/>
      <c r="H21" s="126"/>
      <c r="I21" s="126"/>
      <c r="J21" s="2"/>
      <c r="K21" s="2"/>
      <c r="L21" s="2"/>
      <c r="M21" s="2"/>
      <c r="N21" s="2"/>
      <c r="O21" s="2"/>
      <c r="P21" s="2"/>
      <c r="Q21" s="2"/>
      <c r="R21" s="2"/>
      <c r="S21" s="2"/>
      <c r="T21" s="2"/>
      <c r="U21" s="2"/>
      <c r="V21" s="2"/>
      <c r="W21" s="2"/>
      <c r="X21" s="2"/>
      <c r="Y21" s="2"/>
      <c r="Z21" s="2"/>
    </row>
    <row r="22" spans="1:26" ht="18.75" customHeight="1" x14ac:dyDescent="0.3">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x14ac:dyDescent="0.3">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20.25" customHeight="1" x14ac:dyDescent="0.3">
      <c r="A24" s="130" t="s">
        <v>18</v>
      </c>
      <c r="B24" s="128"/>
      <c r="C24" s="129"/>
      <c r="D24" s="129"/>
      <c r="E24" s="129"/>
      <c r="F24" s="129"/>
      <c r="G24" s="129"/>
      <c r="H24" s="128"/>
      <c r="I24" s="128"/>
      <c r="J24" s="8"/>
      <c r="K24" s="8"/>
      <c r="L24" s="8"/>
      <c r="M24" s="8"/>
      <c r="N24" s="8"/>
      <c r="O24" s="8"/>
      <c r="P24" s="8"/>
      <c r="Q24" s="8"/>
      <c r="R24" s="8"/>
      <c r="S24" s="8"/>
      <c r="T24" s="8"/>
      <c r="U24" s="8"/>
      <c r="V24" s="8"/>
      <c r="W24" s="8"/>
      <c r="X24" s="8"/>
      <c r="Y24" s="8"/>
      <c r="Z24" s="8"/>
    </row>
    <row r="25" spans="1:26" ht="37.5" customHeight="1" x14ac:dyDescent="0.3">
      <c r="A25" s="9" t="s">
        <v>19</v>
      </c>
      <c r="B25" s="9"/>
      <c r="C25" s="10" t="s">
        <v>20</v>
      </c>
      <c r="D25" s="10" t="s">
        <v>5</v>
      </c>
      <c r="E25" s="10" t="s">
        <v>143</v>
      </c>
      <c r="F25" s="10"/>
      <c r="G25" s="10" t="s">
        <v>21</v>
      </c>
      <c r="H25" s="10" t="s">
        <v>9</v>
      </c>
      <c r="I25" s="10" t="s">
        <v>10</v>
      </c>
      <c r="J25" s="8"/>
      <c r="K25" s="8"/>
      <c r="L25" s="8"/>
      <c r="M25" s="8"/>
      <c r="N25" s="8"/>
      <c r="O25" s="8"/>
      <c r="P25" s="8"/>
      <c r="Q25" s="8"/>
      <c r="R25" s="8"/>
      <c r="S25" s="8"/>
      <c r="T25" s="8"/>
      <c r="U25" s="8"/>
      <c r="V25" s="8"/>
      <c r="W25" s="8"/>
      <c r="X25" s="8"/>
      <c r="Y25" s="8"/>
      <c r="Z25" s="8"/>
    </row>
    <row r="26" spans="1:26" ht="18.75" customHeight="1" x14ac:dyDescent="0.3">
      <c r="A26" s="53" t="s">
        <v>22</v>
      </c>
      <c r="B26" s="3"/>
      <c r="C26" s="53">
        <v>70</v>
      </c>
      <c r="D26" s="53" t="s">
        <v>23</v>
      </c>
      <c r="E26" s="54">
        <v>110</v>
      </c>
      <c r="F26" s="3"/>
      <c r="G26" s="16">
        <f t="shared" ref="G26:G35" si="3">C26*E26</f>
        <v>7700</v>
      </c>
      <c r="H26" s="11">
        <f t="shared" ref="H26:H35" si="4">G26/$H$8</f>
        <v>85.555555555555557</v>
      </c>
      <c r="I26" s="12">
        <f>G26/I12</f>
        <v>17.701149425287355</v>
      </c>
      <c r="J26" s="2"/>
      <c r="K26" s="2"/>
      <c r="L26" s="2"/>
      <c r="M26" s="2"/>
      <c r="N26" s="2"/>
      <c r="O26" s="2"/>
      <c r="P26" s="2"/>
      <c r="Q26" s="2"/>
      <c r="R26" s="2"/>
      <c r="S26" s="2"/>
      <c r="T26" s="2"/>
      <c r="U26" s="2"/>
      <c r="V26" s="2"/>
      <c r="W26" s="2"/>
      <c r="X26" s="2"/>
      <c r="Y26" s="2"/>
      <c r="Z26" s="2"/>
    </row>
    <row r="27" spans="1:26" ht="18.75" customHeight="1" x14ac:dyDescent="0.3">
      <c r="A27" s="53" t="s">
        <v>24</v>
      </c>
      <c r="B27" s="3"/>
      <c r="C27" s="53">
        <v>30</v>
      </c>
      <c r="D27" s="53" t="s">
        <v>23</v>
      </c>
      <c r="E27" s="54">
        <v>85</v>
      </c>
      <c r="F27" s="3"/>
      <c r="G27" s="16">
        <f t="shared" si="3"/>
        <v>2550</v>
      </c>
      <c r="H27" s="11">
        <f t="shared" si="4"/>
        <v>28.333333333333332</v>
      </c>
      <c r="I27" s="12">
        <f>G27/I12</f>
        <v>5.8620689655172411</v>
      </c>
      <c r="J27" s="2"/>
      <c r="K27" s="2"/>
      <c r="L27" s="2"/>
      <c r="M27" s="2"/>
      <c r="N27" s="2"/>
      <c r="O27" s="2"/>
      <c r="P27" s="2"/>
      <c r="Q27" s="2"/>
      <c r="R27" s="2"/>
      <c r="S27" s="2"/>
      <c r="T27" s="2"/>
      <c r="U27" s="2"/>
      <c r="V27" s="2"/>
      <c r="W27" s="2"/>
      <c r="X27" s="2"/>
      <c r="Y27" s="2"/>
      <c r="Z27" s="2"/>
    </row>
    <row r="28" spans="1:26" ht="18.75" customHeight="1" x14ac:dyDescent="0.3">
      <c r="A28" s="53" t="s">
        <v>25</v>
      </c>
      <c r="B28" s="3"/>
      <c r="C28" s="53">
        <v>240</v>
      </c>
      <c r="D28" s="53" t="s">
        <v>23</v>
      </c>
      <c r="E28" s="54">
        <v>65</v>
      </c>
      <c r="F28" s="3"/>
      <c r="G28" s="16">
        <f t="shared" si="3"/>
        <v>15600</v>
      </c>
      <c r="H28" s="11">
        <f t="shared" si="4"/>
        <v>173.33333333333334</v>
      </c>
      <c r="I28" s="12">
        <f>G28/I12</f>
        <v>35.862068965517238</v>
      </c>
      <c r="J28" s="2"/>
      <c r="K28" s="2"/>
      <c r="L28" s="2"/>
      <c r="M28" s="2"/>
      <c r="N28" s="2"/>
      <c r="O28" s="2"/>
      <c r="P28" s="2"/>
      <c r="Q28" s="2"/>
      <c r="R28" s="2"/>
      <c r="S28" s="2"/>
      <c r="T28" s="2"/>
      <c r="U28" s="2"/>
      <c r="V28" s="2"/>
      <c r="W28" s="2"/>
      <c r="X28" s="2"/>
      <c r="Y28" s="2"/>
      <c r="Z28" s="2"/>
    </row>
    <row r="29" spans="1:26" ht="18.75" customHeight="1" x14ac:dyDescent="0.3">
      <c r="A29" s="53" t="s">
        <v>26</v>
      </c>
      <c r="B29" s="3"/>
      <c r="C29" s="53">
        <v>1100</v>
      </c>
      <c r="D29" s="53" t="s">
        <v>27</v>
      </c>
      <c r="E29" s="54">
        <v>2.75</v>
      </c>
      <c r="F29" s="3"/>
      <c r="G29" s="16">
        <f t="shared" si="3"/>
        <v>3025</v>
      </c>
      <c r="H29" s="11">
        <f t="shared" si="4"/>
        <v>33.611111111111114</v>
      </c>
      <c r="I29" s="12">
        <f>G29/I12</f>
        <v>6.9540229885057467</v>
      </c>
      <c r="J29" s="2"/>
      <c r="K29" s="2"/>
      <c r="L29" s="2"/>
      <c r="M29" s="2"/>
      <c r="N29" s="2"/>
      <c r="O29" s="2"/>
      <c r="P29" s="2"/>
      <c r="Q29" s="2"/>
      <c r="R29" s="2"/>
      <c r="S29" s="2"/>
      <c r="T29" s="2"/>
      <c r="U29" s="2"/>
      <c r="V29" s="2"/>
      <c r="W29" s="2"/>
      <c r="X29" s="2"/>
      <c r="Y29" s="2"/>
      <c r="Z29" s="2"/>
    </row>
    <row r="30" spans="1:26" ht="18.75" customHeight="1" x14ac:dyDescent="0.3">
      <c r="A30" s="53" t="s">
        <v>28</v>
      </c>
      <c r="B30" s="3"/>
      <c r="C30" s="53">
        <v>350</v>
      </c>
      <c r="D30" s="53" t="s">
        <v>27</v>
      </c>
      <c r="E30" s="54">
        <v>1.3</v>
      </c>
      <c r="F30" s="3"/>
      <c r="G30" s="16">
        <f t="shared" si="3"/>
        <v>455</v>
      </c>
      <c r="H30" s="11">
        <f t="shared" si="4"/>
        <v>5.0555555555555554</v>
      </c>
      <c r="I30" s="12">
        <f>G30/I12</f>
        <v>1.0459770114942528</v>
      </c>
      <c r="J30" s="2"/>
      <c r="K30" s="2"/>
      <c r="L30" s="2"/>
      <c r="M30" s="2"/>
      <c r="N30" s="2"/>
      <c r="O30" s="2"/>
      <c r="P30" s="2"/>
      <c r="Q30" s="2"/>
      <c r="R30" s="2"/>
      <c r="S30" s="2"/>
      <c r="T30" s="2"/>
      <c r="U30" s="2"/>
      <c r="V30" s="2"/>
      <c r="W30" s="2"/>
      <c r="X30" s="2"/>
      <c r="Y30" s="2"/>
      <c r="Z30" s="2"/>
    </row>
    <row r="31" spans="1:26" ht="18.75" customHeight="1" x14ac:dyDescent="0.3">
      <c r="A31" s="53"/>
      <c r="B31" s="3"/>
      <c r="C31" s="53"/>
      <c r="D31" s="53"/>
      <c r="E31" s="54"/>
      <c r="F31" s="3"/>
      <c r="G31" s="16">
        <f t="shared" si="3"/>
        <v>0</v>
      </c>
      <c r="H31" s="11">
        <f t="shared" si="4"/>
        <v>0</v>
      </c>
      <c r="I31" s="12">
        <f>G31/I12</f>
        <v>0</v>
      </c>
      <c r="J31" s="2"/>
      <c r="K31" s="2"/>
      <c r="L31" s="2"/>
      <c r="M31" s="2"/>
      <c r="N31" s="2"/>
      <c r="O31" s="2"/>
      <c r="P31" s="2"/>
      <c r="Q31" s="2"/>
      <c r="R31" s="2"/>
      <c r="S31" s="2"/>
      <c r="T31" s="2"/>
      <c r="U31" s="2"/>
      <c r="V31" s="2"/>
      <c r="W31" s="2"/>
      <c r="X31" s="2"/>
      <c r="Y31" s="2"/>
      <c r="Z31" s="2"/>
    </row>
    <row r="32" spans="1:26" ht="18.75" customHeight="1" x14ac:dyDescent="0.3">
      <c r="A32" s="53"/>
      <c r="B32" s="3"/>
      <c r="C32" s="53"/>
      <c r="D32" s="53"/>
      <c r="E32" s="54"/>
      <c r="F32" s="3"/>
      <c r="G32" s="16">
        <f t="shared" si="3"/>
        <v>0</v>
      </c>
      <c r="H32" s="11">
        <f t="shared" si="4"/>
        <v>0</v>
      </c>
      <c r="I32" s="12">
        <f>G32/I12</f>
        <v>0</v>
      </c>
      <c r="J32" s="2"/>
      <c r="K32" s="2"/>
      <c r="L32" s="2"/>
      <c r="M32" s="2"/>
      <c r="N32" s="2"/>
      <c r="O32" s="2"/>
      <c r="P32" s="2"/>
      <c r="Q32" s="2"/>
      <c r="R32" s="2"/>
      <c r="S32" s="2"/>
      <c r="T32" s="2"/>
      <c r="U32" s="2"/>
      <c r="V32" s="2"/>
      <c r="W32" s="2"/>
      <c r="X32" s="2"/>
      <c r="Y32" s="2"/>
      <c r="Z32" s="2"/>
    </row>
    <row r="33" spans="1:26" ht="18.75" customHeight="1" x14ac:dyDescent="0.3">
      <c r="A33" s="53"/>
      <c r="B33" s="3"/>
      <c r="C33" s="53"/>
      <c r="D33" s="53"/>
      <c r="E33" s="54"/>
      <c r="F33" s="3"/>
      <c r="G33" s="16">
        <f t="shared" si="3"/>
        <v>0</v>
      </c>
      <c r="H33" s="11">
        <f t="shared" si="4"/>
        <v>0</v>
      </c>
      <c r="I33" s="12">
        <f>G33/I12</f>
        <v>0</v>
      </c>
      <c r="J33" s="2"/>
      <c r="K33" s="2"/>
      <c r="L33" s="2"/>
      <c r="M33" s="2"/>
      <c r="N33" s="2"/>
      <c r="O33" s="2"/>
      <c r="P33" s="2"/>
      <c r="Q33" s="2"/>
      <c r="R33" s="2"/>
      <c r="S33" s="2"/>
      <c r="T33" s="2"/>
      <c r="U33" s="2"/>
      <c r="V33" s="2"/>
      <c r="W33" s="2"/>
      <c r="X33" s="2"/>
      <c r="Y33" s="2"/>
      <c r="Z33" s="2"/>
    </row>
    <row r="34" spans="1:26" ht="18.75" customHeight="1" x14ac:dyDescent="0.3">
      <c r="A34" s="53"/>
      <c r="B34" s="3"/>
      <c r="C34" s="53"/>
      <c r="D34" s="53"/>
      <c r="E34" s="54"/>
      <c r="F34" s="3"/>
      <c r="G34" s="16">
        <f t="shared" si="3"/>
        <v>0</v>
      </c>
      <c r="H34" s="11">
        <f t="shared" si="4"/>
        <v>0</v>
      </c>
      <c r="I34" s="12">
        <f>G34/I12</f>
        <v>0</v>
      </c>
      <c r="J34" s="2"/>
      <c r="K34" s="2"/>
      <c r="L34" s="2"/>
      <c r="M34" s="2"/>
      <c r="N34" s="2"/>
      <c r="O34" s="2"/>
      <c r="P34" s="2"/>
      <c r="Q34" s="2"/>
      <c r="R34" s="2"/>
      <c r="S34" s="2"/>
      <c r="T34" s="2"/>
      <c r="U34" s="2"/>
      <c r="V34" s="2"/>
      <c r="W34" s="2"/>
      <c r="X34" s="2"/>
      <c r="Y34" s="2"/>
      <c r="Z34" s="2"/>
    </row>
    <row r="35" spans="1:26" ht="18.75" customHeight="1" x14ac:dyDescent="0.3">
      <c r="A35" s="63"/>
      <c r="B35" s="60"/>
      <c r="C35" s="63"/>
      <c r="D35" s="63"/>
      <c r="E35" s="64"/>
      <c r="F35" s="60"/>
      <c r="G35" s="16">
        <f t="shared" si="3"/>
        <v>0</v>
      </c>
      <c r="H35" s="11">
        <f t="shared" si="4"/>
        <v>0</v>
      </c>
      <c r="I35" s="12">
        <f>G35/I12</f>
        <v>0</v>
      </c>
      <c r="J35" s="2"/>
      <c r="K35" s="2"/>
      <c r="L35" s="2"/>
      <c r="M35" s="2"/>
      <c r="N35" s="2"/>
      <c r="O35" s="2"/>
      <c r="P35" s="2"/>
      <c r="Q35" s="2"/>
      <c r="R35" s="2"/>
      <c r="S35" s="2"/>
      <c r="T35" s="2"/>
      <c r="U35" s="2"/>
      <c r="V35" s="2"/>
      <c r="W35" s="2"/>
      <c r="X35" s="2"/>
      <c r="Y35" s="2"/>
      <c r="Z35" s="2"/>
    </row>
    <row r="36" spans="1:26" ht="18.75" customHeight="1" x14ac:dyDescent="0.3">
      <c r="A36" s="138" t="s">
        <v>29</v>
      </c>
      <c r="B36" s="138"/>
      <c r="C36" s="138"/>
      <c r="D36" s="138"/>
      <c r="E36" s="138"/>
      <c r="F36" s="142"/>
      <c r="G36" s="13">
        <f>SUM(G26:G35)</f>
        <v>29330</v>
      </c>
      <c r="H36" s="14">
        <f>SUM(H26:H35)</f>
        <v>325.88888888888891</v>
      </c>
      <c r="I36" s="15">
        <f>SUM(I26:I35)</f>
        <v>67.425287356321832</v>
      </c>
      <c r="J36" s="1"/>
      <c r="K36" s="1"/>
      <c r="L36" s="1"/>
      <c r="M36" s="1"/>
      <c r="N36" s="1"/>
      <c r="O36" s="1"/>
      <c r="P36" s="1"/>
      <c r="Q36" s="1"/>
      <c r="R36" s="1"/>
      <c r="S36" s="1"/>
      <c r="T36" s="1"/>
      <c r="U36" s="1"/>
      <c r="V36" s="1"/>
      <c r="W36" s="1"/>
      <c r="X36" s="1"/>
      <c r="Y36" s="1"/>
      <c r="Z36" s="1"/>
    </row>
    <row r="37" spans="1:26" ht="18.75" customHeight="1" x14ac:dyDescent="0.3">
      <c r="A37" s="1"/>
      <c r="B37" s="1"/>
      <c r="C37" s="1"/>
      <c r="D37" s="1"/>
      <c r="E37" s="1"/>
      <c r="F37" s="1"/>
      <c r="G37" s="32"/>
      <c r="H37" s="32"/>
      <c r="I37" s="32"/>
      <c r="J37" s="1"/>
      <c r="K37" s="1"/>
      <c r="L37" s="1"/>
      <c r="M37" s="1"/>
      <c r="N37" s="1"/>
      <c r="O37" s="1"/>
      <c r="P37" s="1"/>
      <c r="Q37" s="1"/>
      <c r="R37" s="1"/>
      <c r="S37" s="1"/>
      <c r="T37" s="1"/>
      <c r="U37" s="1"/>
      <c r="V37" s="1"/>
      <c r="W37" s="1"/>
      <c r="X37" s="1"/>
      <c r="Y37" s="1"/>
      <c r="Z37" s="1"/>
    </row>
    <row r="38" spans="1:26" ht="18.75" customHeight="1" x14ac:dyDescent="0.3">
      <c r="A38" s="130" t="s">
        <v>30</v>
      </c>
      <c r="B38" s="128"/>
      <c r="C38" s="129"/>
      <c r="D38" s="129"/>
      <c r="E38" s="129"/>
      <c r="F38" s="129"/>
      <c r="G38" s="129"/>
      <c r="H38" s="128"/>
      <c r="I38" s="128"/>
      <c r="J38" s="8"/>
      <c r="K38" s="8"/>
      <c r="L38" s="8"/>
      <c r="M38" s="8"/>
      <c r="N38" s="8"/>
      <c r="O38" s="8"/>
      <c r="P38" s="8"/>
      <c r="Q38" s="8"/>
      <c r="R38" s="8"/>
      <c r="S38" s="8"/>
      <c r="T38" s="8"/>
      <c r="U38" s="8"/>
      <c r="V38" s="8"/>
      <c r="W38" s="8"/>
      <c r="X38" s="8"/>
      <c r="Y38" s="8"/>
      <c r="Z38" s="8"/>
    </row>
    <row r="39" spans="1:26" ht="18.75" customHeight="1" x14ac:dyDescent="0.3">
      <c r="A39" s="3" t="s">
        <v>19</v>
      </c>
      <c r="B39" s="3"/>
      <c r="C39" s="5" t="s">
        <v>20</v>
      </c>
      <c r="D39" s="5" t="s">
        <v>5</v>
      </c>
      <c r="E39" s="5" t="s">
        <v>31</v>
      </c>
      <c r="F39" s="5"/>
      <c r="G39" s="5" t="s">
        <v>21</v>
      </c>
      <c r="H39" s="5" t="s">
        <v>9</v>
      </c>
      <c r="I39" s="3" t="s">
        <v>10</v>
      </c>
      <c r="J39" s="2"/>
      <c r="K39" s="2"/>
      <c r="L39" s="2"/>
      <c r="M39" s="2"/>
      <c r="N39" s="2"/>
      <c r="O39" s="2"/>
      <c r="P39" s="2"/>
      <c r="Q39" s="2"/>
      <c r="R39" s="2"/>
      <c r="S39" s="2"/>
      <c r="T39" s="2"/>
      <c r="U39" s="2"/>
      <c r="V39" s="2"/>
      <c r="W39" s="2"/>
      <c r="X39" s="2"/>
      <c r="Y39" s="2"/>
      <c r="Z39" s="2"/>
    </row>
    <row r="40" spans="1:26" ht="18.75" customHeight="1" x14ac:dyDescent="0.3">
      <c r="A40" s="53" t="s">
        <v>32</v>
      </c>
      <c r="B40" s="3"/>
      <c r="C40" s="53">
        <v>5.5</v>
      </c>
      <c r="D40" s="53" t="s">
        <v>23</v>
      </c>
      <c r="E40" s="54">
        <v>800</v>
      </c>
      <c r="F40" s="3"/>
      <c r="G40" s="16">
        <f t="shared" ref="G40:G49" si="5">C40*E40</f>
        <v>4400</v>
      </c>
      <c r="H40" s="11">
        <f t="shared" ref="H40:H49" si="6">G40/$H$8</f>
        <v>48.888888888888886</v>
      </c>
      <c r="I40" s="12">
        <f>G40/I12</f>
        <v>10.114942528735632</v>
      </c>
      <c r="J40" s="2"/>
      <c r="K40" s="2"/>
      <c r="L40" s="2"/>
      <c r="M40" s="2"/>
      <c r="N40" s="2"/>
      <c r="O40" s="2"/>
      <c r="P40" s="2"/>
      <c r="Q40" s="2"/>
      <c r="R40" s="2"/>
      <c r="S40" s="2"/>
      <c r="T40" s="2"/>
      <c r="U40" s="2"/>
      <c r="V40" s="2"/>
      <c r="W40" s="2"/>
      <c r="X40" s="2"/>
      <c r="Y40" s="2"/>
      <c r="Z40" s="2"/>
    </row>
    <row r="41" spans="1:26" ht="18.75" customHeight="1" x14ac:dyDescent="0.3">
      <c r="A41" s="53" t="s">
        <v>33</v>
      </c>
      <c r="B41" s="3"/>
      <c r="C41" s="53">
        <v>2</v>
      </c>
      <c r="D41" s="53" t="s">
        <v>23</v>
      </c>
      <c r="E41" s="54">
        <v>485</v>
      </c>
      <c r="F41" s="3"/>
      <c r="G41" s="16">
        <f t="shared" si="5"/>
        <v>970</v>
      </c>
      <c r="H41" s="11">
        <f t="shared" si="6"/>
        <v>10.777777777777779</v>
      </c>
      <c r="I41" s="12">
        <f>G41/I12</f>
        <v>2.2298850574712645</v>
      </c>
      <c r="J41" s="2"/>
      <c r="K41" s="2"/>
      <c r="L41" s="2"/>
      <c r="M41" s="2"/>
      <c r="N41" s="2"/>
      <c r="O41" s="2"/>
      <c r="P41" s="2"/>
      <c r="Q41" s="2"/>
      <c r="R41" s="2"/>
      <c r="S41" s="2"/>
      <c r="T41" s="2"/>
      <c r="U41" s="2"/>
      <c r="V41" s="2"/>
      <c r="W41" s="2"/>
      <c r="X41" s="2"/>
      <c r="Y41" s="2"/>
      <c r="Z41" s="2"/>
    </row>
    <row r="42" spans="1:26" ht="18.75" customHeight="1" x14ac:dyDescent="0.3">
      <c r="A42" s="53" t="s">
        <v>34</v>
      </c>
      <c r="B42" s="3"/>
      <c r="C42" s="53">
        <v>55</v>
      </c>
      <c r="D42" s="53" t="s">
        <v>35</v>
      </c>
      <c r="E42" s="54">
        <v>8</v>
      </c>
      <c r="F42" s="3"/>
      <c r="G42" s="16">
        <f t="shared" si="5"/>
        <v>440</v>
      </c>
      <c r="H42" s="11">
        <f t="shared" si="6"/>
        <v>4.8888888888888893</v>
      </c>
      <c r="I42" s="12">
        <f>G42/I12</f>
        <v>1.0114942528735633</v>
      </c>
      <c r="J42" s="2"/>
      <c r="K42" s="2"/>
      <c r="L42" s="2"/>
      <c r="M42" s="2"/>
      <c r="N42" s="2"/>
      <c r="O42" s="2"/>
      <c r="P42" s="2"/>
      <c r="Q42" s="2"/>
      <c r="R42" s="2"/>
      <c r="S42" s="2"/>
      <c r="T42" s="2"/>
      <c r="U42" s="2"/>
      <c r="V42" s="2"/>
      <c r="W42" s="2"/>
      <c r="X42" s="2"/>
      <c r="Y42" s="2"/>
      <c r="Z42" s="2"/>
    </row>
    <row r="43" spans="1:26" ht="18.75" customHeight="1" x14ac:dyDescent="0.3">
      <c r="A43" s="53"/>
      <c r="B43" s="3"/>
      <c r="C43" s="53"/>
      <c r="D43" s="53"/>
      <c r="E43" s="54"/>
      <c r="F43" s="3"/>
      <c r="G43" s="16">
        <f t="shared" si="5"/>
        <v>0</v>
      </c>
      <c r="H43" s="11">
        <f t="shared" si="6"/>
        <v>0</v>
      </c>
      <c r="I43" s="12">
        <f>G43/I12</f>
        <v>0</v>
      </c>
      <c r="J43" s="2"/>
      <c r="K43" s="2"/>
      <c r="L43" s="2"/>
      <c r="M43" s="2"/>
      <c r="N43" s="2"/>
      <c r="O43" s="2"/>
      <c r="P43" s="2"/>
      <c r="Q43" s="2"/>
      <c r="R43" s="2"/>
      <c r="S43" s="2"/>
      <c r="T43" s="2"/>
      <c r="U43" s="2"/>
      <c r="V43" s="2"/>
      <c r="W43" s="2"/>
      <c r="X43" s="2"/>
      <c r="Y43" s="2"/>
      <c r="Z43" s="2"/>
    </row>
    <row r="44" spans="1:26" ht="18.75" customHeight="1" x14ac:dyDescent="0.3">
      <c r="A44" s="53"/>
      <c r="B44" s="3"/>
      <c r="C44" s="53"/>
      <c r="D44" s="53"/>
      <c r="E44" s="54"/>
      <c r="F44" s="3"/>
      <c r="G44" s="16">
        <f t="shared" si="5"/>
        <v>0</v>
      </c>
      <c r="H44" s="11">
        <f t="shared" si="6"/>
        <v>0</v>
      </c>
      <c r="I44" s="12">
        <f>G44/I12</f>
        <v>0</v>
      </c>
      <c r="J44" s="2"/>
      <c r="K44" s="2"/>
      <c r="L44" s="2"/>
      <c r="M44" s="2"/>
      <c r="N44" s="2"/>
      <c r="O44" s="2"/>
      <c r="P44" s="2"/>
      <c r="Q44" s="2"/>
      <c r="R44" s="2"/>
      <c r="S44" s="2"/>
      <c r="T44" s="2"/>
      <c r="U44" s="2"/>
      <c r="V44" s="2"/>
      <c r="W44" s="2"/>
      <c r="X44" s="2"/>
      <c r="Y44" s="2"/>
      <c r="Z44" s="2"/>
    </row>
    <row r="45" spans="1:26" ht="18.75" customHeight="1" x14ac:dyDescent="0.3">
      <c r="A45" s="53"/>
      <c r="B45" s="3"/>
      <c r="C45" s="53"/>
      <c r="D45" s="53"/>
      <c r="E45" s="54"/>
      <c r="F45" s="3"/>
      <c r="G45" s="16">
        <f t="shared" si="5"/>
        <v>0</v>
      </c>
      <c r="H45" s="11">
        <f t="shared" si="6"/>
        <v>0</v>
      </c>
      <c r="I45" s="12">
        <f>G45/I12</f>
        <v>0</v>
      </c>
      <c r="J45" s="2"/>
      <c r="K45" s="2"/>
      <c r="L45" s="2"/>
      <c r="M45" s="2"/>
      <c r="N45" s="2"/>
      <c r="O45" s="2"/>
      <c r="P45" s="2"/>
      <c r="Q45" s="2"/>
      <c r="R45" s="2"/>
      <c r="S45" s="2"/>
      <c r="T45" s="2"/>
      <c r="U45" s="2"/>
      <c r="V45" s="2"/>
      <c r="W45" s="2"/>
      <c r="X45" s="2"/>
      <c r="Y45" s="2"/>
      <c r="Z45" s="2"/>
    </row>
    <row r="46" spans="1:26" ht="18.75" customHeight="1" x14ac:dyDescent="0.3">
      <c r="A46" s="53"/>
      <c r="B46" s="3"/>
      <c r="C46" s="53"/>
      <c r="D46" s="53"/>
      <c r="E46" s="54"/>
      <c r="F46" s="3"/>
      <c r="G46" s="16">
        <f t="shared" si="5"/>
        <v>0</v>
      </c>
      <c r="H46" s="11">
        <f t="shared" si="6"/>
        <v>0</v>
      </c>
      <c r="I46" s="12">
        <f>G46/I12</f>
        <v>0</v>
      </c>
      <c r="J46" s="2"/>
      <c r="K46" s="2"/>
      <c r="L46" s="2"/>
      <c r="M46" s="2"/>
      <c r="N46" s="2"/>
      <c r="O46" s="2"/>
      <c r="P46" s="2"/>
      <c r="Q46" s="2"/>
      <c r="R46" s="2"/>
      <c r="S46" s="2"/>
      <c r="T46" s="2"/>
      <c r="U46" s="2"/>
      <c r="V46" s="2"/>
      <c r="W46" s="2"/>
      <c r="X46" s="2"/>
      <c r="Y46" s="2"/>
      <c r="Z46" s="2"/>
    </row>
    <row r="47" spans="1:26" ht="18.75" customHeight="1" x14ac:dyDescent="0.3">
      <c r="A47" s="53"/>
      <c r="B47" s="3"/>
      <c r="C47" s="53"/>
      <c r="D47" s="53"/>
      <c r="E47" s="54"/>
      <c r="F47" s="3"/>
      <c r="G47" s="16">
        <f t="shared" si="5"/>
        <v>0</v>
      </c>
      <c r="H47" s="11">
        <f t="shared" si="6"/>
        <v>0</v>
      </c>
      <c r="I47" s="12">
        <f>G47/I12</f>
        <v>0</v>
      </c>
      <c r="J47" s="2"/>
      <c r="K47" s="2"/>
      <c r="L47" s="2"/>
      <c r="M47" s="2"/>
      <c r="N47" s="2"/>
      <c r="O47" s="2"/>
      <c r="P47" s="2"/>
      <c r="Q47" s="2"/>
      <c r="R47" s="2"/>
      <c r="S47" s="2"/>
      <c r="T47" s="2"/>
      <c r="U47" s="2"/>
      <c r="V47" s="2"/>
      <c r="W47" s="2"/>
      <c r="X47" s="2"/>
      <c r="Y47" s="2"/>
      <c r="Z47" s="2"/>
    </row>
    <row r="48" spans="1:26" ht="18.75" customHeight="1" x14ac:dyDescent="0.3">
      <c r="A48" s="53"/>
      <c r="B48" s="3"/>
      <c r="C48" s="53"/>
      <c r="D48" s="53"/>
      <c r="E48" s="54"/>
      <c r="F48" s="3"/>
      <c r="G48" s="16">
        <f t="shared" si="5"/>
        <v>0</v>
      </c>
      <c r="H48" s="11">
        <f t="shared" si="6"/>
        <v>0</v>
      </c>
      <c r="I48" s="12">
        <f>G48/I12</f>
        <v>0</v>
      </c>
      <c r="J48" s="2"/>
      <c r="K48" s="2"/>
      <c r="L48" s="2"/>
      <c r="M48" s="2"/>
      <c r="N48" s="2"/>
      <c r="O48" s="2"/>
      <c r="P48" s="2"/>
      <c r="Q48" s="2"/>
      <c r="R48" s="2"/>
      <c r="S48" s="2"/>
      <c r="T48" s="2"/>
      <c r="U48" s="2"/>
      <c r="V48" s="2"/>
      <c r="W48" s="2"/>
      <c r="X48" s="2"/>
      <c r="Y48" s="2"/>
      <c r="Z48" s="2"/>
    </row>
    <row r="49" spans="1:26" ht="18.75" customHeight="1" x14ac:dyDescent="0.3">
      <c r="A49" s="63"/>
      <c r="B49" s="60"/>
      <c r="C49" s="63"/>
      <c r="D49" s="63"/>
      <c r="E49" s="64"/>
      <c r="F49" s="60"/>
      <c r="G49" s="16">
        <f t="shared" si="5"/>
        <v>0</v>
      </c>
      <c r="H49" s="11">
        <f t="shared" si="6"/>
        <v>0</v>
      </c>
      <c r="I49" s="12">
        <f>G49/I12</f>
        <v>0</v>
      </c>
      <c r="J49" s="2"/>
      <c r="K49" s="2"/>
      <c r="L49" s="2"/>
      <c r="M49" s="2"/>
      <c r="N49" s="2"/>
      <c r="O49" s="2"/>
      <c r="P49" s="2"/>
      <c r="Q49" s="2"/>
      <c r="R49" s="2"/>
      <c r="S49" s="2"/>
      <c r="T49" s="2"/>
      <c r="U49" s="2"/>
      <c r="V49" s="2"/>
      <c r="W49" s="2"/>
      <c r="X49" s="2"/>
      <c r="Y49" s="2"/>
      <c r="Z49" s="2"/>
    </row>
    <row r="50" spans="1:26" ht="18.75" customHeight="1" x14ac:dyDescent="0.3">
      <c r="A50" s="138" t="s">
        <v>36</v>
      </c>
      <c r="B50" s="138"/>
      <c r="C50" s="138"/>
      <c r="D50" s="138"/>
      <c r="E50" s="138"/>
      <c r="F50" s="142"/>
      <c r="G50" s="13">
        <f t="shared" ref="G50:I50" si="7">SUM(G40:G49)</f>
        <v>5810</v>
      </c>
      <c r="H50" s="14">
        <f>SUM(H40:H49)</f>
        <v>64.555555555555557</v>
      </c>
      <c r="I50" s="15">
        <f t="shared" si="7"/>
        <v>13.35632183908046</v>
      </c>
      <c r="J50" s="1"/>
      <c r="K50" s="1"/>
      <c r="L50" s="1"/>
      <c r="M50" s="1"/>
      <c r="N50" s="1"/>
      <c r="O50" s="1"/>
      <c r="P50" s="1"/>
      <c r="Q50" s="1"/>
      <c r="R50" s="1"/>
      <c r="S50" s="1"/>
      <c r="T50" s="1"/>
      <c r="U50" s="1"/>
      <c r="V50" s="1"/>
      <c r="W50" s="1"/>
      <c r="X50" s="1"/>
      <c r="Y50" s="1"/>
      <c r="Z50" s="1"/>
    </row>
    <row r="51" spans="1:26" ht="18.75" customHeight="1" x14ac:dyDescent="0.3">
      <c r="A51" s="1"/>
      <c r="B51" s="1"/>
      <c r="C51" s="1"/>
      <c r="D51" s="1"/>
      <c r="E51" s="1"/>
      <c r="F51" s="1"/>
      <c r="G51" s="32"/>
      <c r="H51" s="32"/>
      <c r="I51" s="32"/>
      <c r="J51" s="1"/>
      <c r="K51" s="1"/>
      <c r="L51" s="1"/>
      <c r="M51" s="1"/>
      <c r="N51" s="1"/>
      <c r="O51" s="1"/>
      <c r="P51" s="1"/>
      <c r="Q51" s="1"/>
      <c r="R51" s="1"/>
      <c r="S51" s="1"/>
      <c r="T51" s="1"/>
      <c r="U51" s="1"/>
      <c r="V51" s="1"/>
      <c r="W51" s="1"/>
      <c r="X51" s="1"/>
      <c r="Y51" s="1"/>
      <c r="Z51" s="1"/>
    </row>
    <row r="52" spans="1:26" ht="18.75" customHeight="1" x14ac:dyDescent="0.3">
      <c r="A52" s="127" t="s">
        <v>37</v>
      </c>
      <c r="B52" s="126"/>
      <c r="C52" s="126"/>
      <c r="D52" s="126"/>
      <c r="E52" s="126"/>
      <c r="F52" s="126"/>
      <c r="G52" s="126"/>
      <c r="H52" s="126"/>
      <c r="I52" s="126"/>
      <c r="J52" s="2"/>
      <c r="K52" s="2"/>
      <c r="L52" s="2"/>
      <c r="M52" s="2"/>
      <c r="N52" s="2"/>
      <c r="O52" s="2"/>
      <c r="P52" s="2"/>
      <c r="Q52" s="2"/>
      <c r="R52" s="2"/>
      <c r="S52" s="2"/>
      <c r="T52" s="2"/>
      <c r="U52" s="2"/>
      <c r="V52" s="2"/>
      <c r="W52" s="2"/>
      <c r="X52" s="2"/>
      <c r="Y52" s="2"/>
      <c r="Z52" s="2"/>
    </row>
    <row r="53" spans="1:26" s="43" customFormat="1" ht="36.75" customHeight="1" x14ac:dyDescent="0.3">
      <c r="A53" s="9" t="s">
        <v>38</v>
      </c>
      <c r="B53" s="9"/>
      <c r="C53" s="10" t="s">
        <v>20</v>
      </c>
      <c r="D53" s="10" t="s">
        <v>5</v>
      </c>
      <c r="E53" s="10" t="s">
        <v>110</v>
      </c>
      <c r="F53" s="9"/>
      <c r="G53" s="10" t="s">
        <v>21</v>
      </c>
      <c r="H53" s="10" t="s">
        <v>9</v>
      </c>
      <c r="I53" s="10" t="s">
        <v>39</v>
      </c>
      <c r="J53" s="8"/>
      <c r="K53" s="8"/>
      <c r="L53" s="8"/>
      <c r="M53" s="8"/>
      <c r="N53" s="8"/>
      <c r="O53" s="8"/>
      <c r="P53" s="8"/>
      <c r="Q53" s="8"/>
      <c r="R53" s="8"/>
      <c r="S53" s="8"/>
      <c r="T53" s="8"/>
      <c r="U53" s="8"/>
      <c r="V53" s="8"/>
      <c r="W53" s="8"/>
      <c r="X53" s="8"/>
      <c r="Y53" s="8"/>
      <c r="Z53" s="8"/>
    </row>
    <row r="54" spans="1:26" ht="18.75" customHeight="1" x14ac:dyDescent="0.3">
      <c r="A54" s="53" t="s">
        <v>40</v>
      </c>
      <c r="B54" s="3"/>
      <c r="C54" s="53">
        <v>66</v>
      </c>
      <c r="D54" s="53" t="s">
        <v>23</v>
      </c>
      <c r="E54" s="54">
        <v>60</v>
      </c>
      <c r="F54" s="3"/>
      <c r="G54" s="16">
        <f t="shared" ref="G54:G58" si="8">C54*E54</f>
        <v>3960</v>
      </c>
      <c r="H54" s="11">
        <f t="shared" ref="H54:H58" si="9">G54/$H$8</f>
        <v>44</v>
      </c>
      <c r="I54" s="12">
        <f>G54/I12</f>
        <v>9.1034482758620694</v>
      </c>
      <c r="J54" s="2"/>
      <c r="K54" s="2"/>
      <c r="L54" s="2"/>
      <c r="M54" s="2"/>
      <c r="N54" s="2"/>
      <c r="O54" s="2"/>
      <c r="P54" s="2"/>
      <c r="Q54" s="2"/>
      <c r="R54" s="2"/>
      <c r="S54" s="2"/>
      <c r="T54" s="2"/>
      <c r="U54" s="2"/>
      <c r="V54" s="2"/>
      <c r="W54" s="2"/>
      <c r="X54" s="2"/>
      <c r="Y54" s="2"/>
      <c r="Z54" s="2"/>
    </row>
    <row r="55" spans="1:26" ht="18.75" customHeight="1" x14ac:dyDescent="0.3">
      <c r="A55" s="53" t="s">
        <v>41</v>
      </c>
      <c r="B55" s="3"/>
      <c r="C55" s="53">
        <v>12</v>
      </c>
      <c r="D55" s="53" t="s">
        <v>23</v>
      </c>
      <c r="E55" s="54">
        <v>55</v>
      </c>
      <c r="F55" s="3"/>
      <c r="G55" s="16">
        <f t="shared" si="8"/>
        <v>660</v>
      </c>
      <c r="H55" s="11">
        <f t="shared" si="9"/>
        <v>7.333333333333333</v>
      </c>
      <c r="I55" s="12">
        <f>G55/I12</f>
        <v>1.5172413793103448</v>
      </c>
      <c r="J55" s="2"/>
      <c r="K55" s="2"/>
      <c r="L55" s="2"/>
      <c r="M55" s="2"/>
      <c r="N55" s="2"/>
      <c r="O55" s="2"/>
      <c r="P55" s="2"/>
      <c r="Q55" s="2"/>
      <c r="R55" s="2"/>
      <c r="S55" s="2"/>
      <c r="T55" s="2"/>
      <c r="U55" s="2"/>
      <c r="V55" s="2"/>
      <c r="W55" s="2"/>
      <c r="X55" s="2"/>
      <c r="Y55" s="2"/>
      <c r="Z55" s="2"/>
    </row>
    <row r="56" spans="1:26" ht="18.75" customHeight="1" x14ac:dyDescent="0.3">
      <c r="A56" s="53"/>
      <c r="B56" s="3"/>
      <c r="C56" s="53"/>
      <c r="D56" s="53"/>
      <c r="E56" s="54"/>
      <c r="F56" s="3"/>
      <c r="G56" s="16">
        <f t="shared" si="8"/>
        <v>0</v>
      </c>
      <c r="H56" s="11">
        <f t="shared" si="9"/>
        <v>0</v>
      </c>
      <c r="I56" s="12">
        <f>G56/I12</f>
        <v>0</v>
      </c>
      <c r="J56" s="2"/>
      <c r="K56" s="2"/>
      <c r="L56" s="2"/>
      <c r="M56" s="2"/>
      <c r="N56" s="2"/>
      <c r="O56" s="2"/>
      <c r="P56" s="2"/>
      <c r="Q56" s="2"/>
      <c r="R56" s="2"/>
      <c r="S56" s="2"/>
      <c r="T56" s="2"/>
      <c r="U56" s="2"/>
      <c r="V56" s="2"/>
      <c r="W56" s="2"/>
      <c r="X56" s="2"/>
      <c r="Y56" s="2"/>
      <c r="Z56" s="2"/>
    </row>
    <row r="57" spans="1:26" ht="18.75" customHeight="1" x14ac:dyDescent="0.3">
      <c r="A57" s="53"/>
      <c r="B57" s="3"/>
      <c r="C57" s="53"/>
      <c r="D57" s="53"/>
      <c r="E57" s="54"/>
      <c r="F57" s="3"/>
      <c r="G57" s="16">
        <f t="shared" si="8"/>
        <v>0</v>
      </c>
      <c r="H57" s="11">
        <f t="shared" si="9"/>
        <v>0</v>
      </c>
      <c r="I57" s="12">
        <f>G57/I12</f>
        <v>0</v>
      </c>
      <c r="J57" s="2"/>
      <c r="K57" s="2"/>
      <c r="L57" s="2"/>
      <c r="M57" s="2"/>
      <c r="N57" s="2"/>
      <c r="O57" s="2"/>
      <c r="P57" s="2"/>
      <c r="Q57" s="2"/>
      <c r="R57" s="2"/>
      <c r="S57" s="2"/>
      <c r="T57" s="2"/>
      <c r="U57" s="2"/>
      <c r="V57" s="2"/>
      <c r="W57" s="2"/>
      <c r="X57" s="2"/>
      <c r="Y57" s="2"/>
      <c r="Z57" s="2"/>
    </row>
    <row r="58" spans="1:26" ht="18.75" customHeight="1" x14ac:dyDescent="0.3">
      <c r="A58" s="63"/>
      <c r="B58" s="60"/>
      <c r="C58" s="63"/>
      <c r="D58" s="63"/>
      <c r="E58" s="64"/>
      <c r="F58" s="60"/>
      <c r="G58" s="16">
        <f t="shared" si="8"/>
        <v>0</v>
      </c>
      <c r="H58" s="11">
        <f t="shared" si="9"/>
        <v>0</v>
      </c>
      <c r="I58" s="12">
        <f>G58/I12</f>
        <v>0</v>
      </c>
      <c r="J58" s="2"/>
      <c r="K58" s="2"/>
      <c r="L58" s="2"/>
      <c r="M58" s="2"/>
      <c r="N58" s="2"/>
      <c r="O58" s="2"/>
      <c r="P58" s="2"/>
      <c r="Q58" s="2"/>
      <c r="R58" s="2"/>
      <c r="S58" s="2"/>
      <c r="T58" s="2"/>
      <c r="U58" s="2"/>
      <c r="V58" s="2"/>
      <c r="W58" s="2"/>
      <c r="X58" s="2"/>
      <c r="Y58" s="2"/>
      <c r="Z58" s="2"/>
    </row>
    <row r="59" spans="1:26" ht="18.75" customHeight="1" x14ac:dyDescent="0.3">
      <c r="A59" s="138" t="s">
        <v>42</v>
      </c>
      <c r="B59" s="138"/>
      <c r="C59" s="138"/>
      <c r="D59" s="138"/>
      <c r="E59" s="138"/>
      <c r="F59" s="142"/>
      <c r="G59" s="13">
        <f t="shared" ref="G59:I59" si="10">SUM(G54:G58)</f>
        <v>4620</v>
      </c>
      <c r="H59" s="14">
        <f>SUM(H54:H58)</f>
        <v>51.333333333333336</v>
      </c>
      <c r="I59" s="15">
        <f t="shared" si="10"/>
        <v>10.620689655172415</v>
      </c>
      <c r="J59" s="1"/>
      <c r="K59" s="1"/>
      <c r="L59" s="1"/>
      <c r="M59" s="1"/>
      <c r="N59" s="1"/>
      <c r="O59" s="1"/>
      <c r="P59" s="1"/>
      <c r="Q59" s="1"/>
      <c r="R59" s="1"/>
      <c r="S59" s="1"/>
      <c r="T59" s="1"/>
      <c r="U59" s="1"/>
      <c r="V59" s="1"/>
      <c r="W59" s="1"/>
      <c r="X59" s="1"/>
      <c r="Y59" s="1"/>
      <c r="Z59" s="1"/>
    </row>
    <row r="60" spans="1:26" ht="18.75" customHeight="1" x14ac:dyDescent="0.3">
      <c r="A60" s="1"/>
      <c r="B60" s="1"/>
      <c r="C60" s="1"/>
      <c r="D60" s="1"/>
      <c r="E60" s="1"/>
      <c r="F60" s="1"/>
      <c r="G60" s="32"/>
      <c r="H60" s="32"/>
      <c r="I60" s="32"/>
      <c r="J60" s="1"/>
      <c r="K60" s="1"/>
      <c r="L60" s="1"/>
      <c r="M60" s="1"/>
      <c r="N60" s="1"/>
      <c r="O60" s="1"/>
      <c r="P60" s="1"/>
      <c r="Q60" s="1"/>
      <c r="R60" s="1"/>
      <c r="S60" s="1"/>
      <c r="T60" s="1"/>
      <c r="U60" s="1"/>
      <c r="V60" s="1"/>
      <c r="W60" s="1"/>
      <c r="X60" s="1"/>
      <c r="Y60" s="1"/>
      <c r="Z60" s="1"/>
    </row>
    <row r="61" spans="1:26" ht="18.75" customHeight="1" x14ac:dyDescent="0.3">
      <c r="A61" s="130" t="s">
        <v>43</v>
      </c>
      <c r="B61" s="133"/>
      <c r="C61" s="134"/>
      <c r="D61" s="134"/>
      <c r="E61" s="134"/>
      <c r="F61" s="134"/>
      <c r="G61" s="134"/>
      <c r="H61" s="133"/>
      <c r="I61" s="133"/>
      <c r="J61" s="8"/>
      <c r="K61" s="8"/>
      <c r="L61" s="8"/>
      <c r="M61" s="8"/>
      <c r="N61" s="8"/>
      <c r="O61" s="8"/>
      <c r="P61" s="8"/>
      <c r="Q61" s="8"/>
      <c r="R61" s="8"/>
      <c r="S61" s="8"/>
      <c r="T61" s="8"/>
      <c r="U61" s="8"/>
      <c r="V61" s="8"/>
      <c r="W61" s="8"/>
      <c r="X61" s="8"/>
      <c r="Y61" s="8"/>
      <c r="Z61" s="8"/>
    </row>
    <row r="62" spans="1:26" ht="18.75" customHeight="1" x14ac:dyDescent="0.3">
      <c r="A62" s="3" t="s">
        <v>44</v>
      </c>
      <c r="B62" s="27"/>
      <c r="C62" s="28"/>
      <c r="D62" s="28"/>
      <c r="E62" s="28"/>
      <c r="F62" s="29"/>
      <c r="G62" s="5" t="s">
        <v>45</v>
      </c>
      <c r="H62" s="5" t="s">
        <v>9</v>
      </c>
      <c r="I62" s="5" t="s">
        <v>10</v>
      </c>
      <c r="J62" s="2"/>
      <c r="K62" s="2"/>
      <c r="L62" s="2"/>
      <c r="M62" s="2"/>
      <c r="N62" s="2"/>
      <c r="O62" s="2"/>
      <c r="P62" s="2"/>
      <c r="Q62" s="2"/>
      <c r="R62" s="2"/>
      <c r="S62" s="2"/>
      <c r="T62" s="2"/>
      <c r="U62" s="2"/>
      <c r="V62" s="2"/>
      <c r="W62" s="2"/>
      <c r="X62" s="2"/>
      <c r="Y62" s="2"/>
      <c r="Z62" s="2"/>
    </row>
    <row r="63" spans="1:26" ht="18.75" customHeight="1" x14ac:dyDescent="0.3">
      <c r="A63" s="53" t="s">
        <v>46</v>
      </c>
      <c r="B63" s="27"/>
      <c r="C63" s="19"/>
      <c r="D63" s="19"/>
      <c r="E63" s="19"/>
      <c r="F63" s="20"/>
      <c r="G63" s="54">
        <v>720</v>
      </c>
      <c r="H63" s="11">
        <f t="shared" ref="H63:H77" si="11">G63/$H$8</f>
        <v>8</v>
      </c>
      <c r="I63" s="12">
        <f>G63/I12</f>
        <v>1.6551724137931034</v>
      </c>
      <c r="J63" s="2"/>
      <c r="K63" s="2"/>
      <c r="L63" s="2"/>
      <c r="M63" s="2"/>
      <c r="N63" s="2"/>
      <c r="O63" s="2"/>
      <c r="P63" s="2"/>
      <c r="Q63" s="2"/>
      <c r="R63" s="2"/>
      <c r="S63" s="2"/>
      <c r="T63" s="2"/>
      <c r="U63" s="2"/>
      <c r="V63" s="2"/>
      <c r="W63" s="2"/>
      <c r="X63" s="2"/>
      <c r="Y63" s="2"/>
      <c r="Z63" s="2"/>
    </row>
    <row r="64" spans="1:26" ht="18.75" customHeight="1" x14ac:dyDescent="0.3">
      <c r="A64" s="53" t="s">
        <v>47</v>
      </c>
      <c r="B64" s="27"/>
      <c r="C64" s="19"/>
      <c r="D64" s="19"/>
      <c r="E64" s="19"/>
      <c r="F64" s="20"/>
      <c r="G64" s="54">
        <v>570</v>
      </c>
      <c r="H64" s="11">
        <f t="shared" si="11"/>
        <v>6.333333333333333</v>
      </c>
      <c r="I64" s="12">
        <f>G64/I12</f>
        <v>1.3103448275862069</v>
      </c>
      <c r="J64" s="2"/>
      <c r="K64" s="2"/>
      <c r="L64" s="2"/>
      <c r="M64" s="2"/>
      <c r="N64" s="2"/>
      <c r="O64" s="2"/>
      <c r="P64" s="2"/>
      <c r="Q64" s="2"/>
      <c r="R64" s="2"/>
      <c r="S64" s="2"/>
      <c r="T64" s="2"/>
      <c r="U64" s="2"/>
      <c r="V64" s="2"/>
      <c r="W64" s="2"/>
      <c r="X64" s="2"/>
      <c r="Y64" s="2"/>
      <c r="Z64" s="2"/>
    </row>
    <row r="65" spans="1:26" ht="18.75" customHeight="1" x14ac:dyDescent="0.3">
      <c r="A65" s="53" t="s">
        <v>48</v>
      </c>
      <c r="B65" s="27"/>
      <c r="C65" s="19"/>
      <c r="D65" s="19"/>
      <c r="E65" s="19"/>
      <c r="F65" s="20"/>
      <c r="G65" s="54">
        <v>600</v>
      </c>
      <c r="H65" s="11">
        <f t="shared" si="11"/>
        <v>6.666666666666667</v>
      </c>
      <c r="I65" s="12">
        <f>G65/I12</f>
        <v>1.3793103448275863</v>
      </c>
      <c r="J65" s="2"/>
      <c r="K65" s="2"/>
      <c r="L65" s="2"/>
      <c r="M65" s="2"/>
      <c r="N65" s="2"/>
      <c r="O65" s="2"/>
      <c r="P65" s="2"/>
      <c r="Q65" s="2"/>
      <c r="R65" s="2"/>
      <c r="S65" s="2"/>
      <c r="T65" s="2"/>
      <c r="U65" s="2"/>
      <c r="V65" s="2"/>
      <c r="W65" s="2"/>
      <c r="X65" s="2"/>
      <c r="Y65" s="2"/>
      <c r="Z65" s="2"/>
    </row>
    <row r="66" spans="1:26" ht="18.75" customHeight="1" x14ac:dyDescent="0.3">
      <c r="A66" s="53" t="s">
        <v>49</v>
      </c>
      <c r="B66" s="27"/>
      <c r="C66" s="19"/>
      <c r="D66" s="19"/>
      <c r="E66" s="19"/>
      <c r="F66" s="20"/>
      <c r="G66" s="54">
        <v>300</v>
      </c>
      <c r="H66" s="11">
        <f t="shared" si="11"/>
        <v>3.3333333333333335</v>
      </c>
      <c r="I66" s="12">
        <f>G66/I12</f>
        <v>0.68965517241379315</v>
      </c>
      <c r="J66" s="2"/>
      <c r="K66" s="2"/>
      <c r="L66" s="2"/>
      <c r="M66" s="2"/>
      <c r="N66" s="2"/>
      <c r="O66" s="2"/>
      <c r="P66" s="2"/>
      <c r="Q66" s="2"/>
      <c r="R66" s="2"/>
      <c r="S66" s="2"/>
      <c r="T66" s="2"/>
      <c r="U66" s="2"/>
      <c r="V66" s="2"/>
      <c r="W66" s="2"/>
      <c r="X66" s="2"/>
      <c r="Y66" s="2"/>
      <c r="Z66" s="2"/>
    </row>
    <row r="67" spans="1:26" ht="18.75" customHeight="1" x14ac:dyDescent="0.3">
      <c r="A67" s="53" t="s">
        <v>50</v>
      </c>
      <c r="B67" s="27"/>
      <c r="C67" s="19"/>
      <c r="D67" s="19"/>
      <c r="E67" s="19"/>
      <c r="F67" s="20"/>
      <c r="G67" s="54">
        <v>900</v>
      </c>
      <c r="H67" s="11">
        <f t="shared" si="11"/>
        <v>10</v>
      </c>
      <c r="I67" s="12">
        <f>G67/I12</f>
        <v>2.0689655172413794</v>
      </c>
      <c r="J67" s="2"/>
      <c r="K67" s="2"/>
      <c r="L67" s="2"/>
      <c r="M67" s="2"/>
      <c r="N67" s="2"/>
      <c r="O67" s="2"/>
      <c r="P67" s="2"/>
      <c r="Q67" s="2"/>
      <c r="R67" s="2"/>
      <c r="S67" s="2"/>
      <c r="T67" s="2"/>
      <c r="U67" s="2"/>
      <c r="V67" s="2"/>
      <c r="W67" s="2"/>
      <c r="X67" s="2"/>
      <c r="Y67" s="2"/>
      <c r="Z67" s="2"/>
    </row>
    <row r="68" spans="1:26" ht="18.75" customHeight="1" x14ac:dyDescent="0.3">
      <c r="A68" s="53" t="s">
        <v>51</v>
      </c>
      <c r="B68" s="27"/>
      <c r="C68" s="19"/>
      <c r="D68" s="19"/>
      <c r="E68" s="19"/>
      <c r="F68" s="20"/>
      <c r="G68" s="54">
        <v>110</v>
      </c>
      <c r="H68" s="11">
        <f t="shared" si="11"/>
        <v>1.2222222222222223</v>
      </c>
      <c r="I68" s="12">
        <f>G68/I12</f>
        <v>0.25287356321839083</v>
      </c>
      <c r="J68" s="2"/>
      <c r="K68" s="2"/>
      <c r="L68" s="2"/>
      <c r="M68" s="2"/>
      <c r="N68" s="2"/>
      <c r="O68" s="2"/>
      <c r="P68" s="2"/>
      <c r="Q68" s="2"/>
      <c r="R68" s="2"/>
      <c r="S68" s="2"/>
      <c r="T68" s="2"/>
      <c r="U68" s="2"/>
      <c r="V68" s="2"/>
      <c r="W68" s="2"/>
      <c r="X68" s="2"/>
      <c r="Y68" s="2"/>
      <c r="Z68" s="2"/>
    </row>
    <row r="69" spans="1:26" ht="18.75" customHeight="1" x14ac:dyDescent="0.3">
      <c r="A69" s="53"/>
      <c r="B69" s="27"/>
      <c r="C69" s="19"/>
      <c r="D69" s="19"/>
      <c r="E69" s="19"/>
      <c r="F69" s="20"/>
      <c r="G69" s="54"/>
      <c r="H69" s="11">
        <f t="shared" si="11"/>
        <v>0</v>
      </c>
      <c r="I69" s="12">
        <f>G69/I12</f>
        <v>0</v>
      </c>
      <c r="J69" s="2"/>
      <c r="K69" s="2"/>
      <c r="L69" s="2"/>
      <c r="M69" s="2"/>
      <c r="N69" s="2"/>
      <c r="O69" s="2"/>
      <c r="P69" s="2"/>
      <c r="Q69" s="2"/>
      <c r="R69" s="2"/>
      <c r="S69" s="2"/>
      <c r="T69" s="2"/>
      <c r="U69" s="2"/>
      <c r="V69" s="2"/>
      <c r="W69" s="2"/>
      <c r="X69" s="2"/>
      <c r="Y69" s="2"/>
      <c r="Z69" s="2"/>
    </row>
    <row r="70" spans="1:26" ht="18.75" customHeight="1" x14ac:dyDescent="0.3">
      <c r="A70" s="53"/>
      <c r="B70" s="27"/>
      <c r="C70" s="19"/>
      <c r="D70" s="19"/>
      <c r="E70" s="19"/>
      <c r="F70" s="20"/>
      <c r="G70" s="54"/>
      <c r="H70" s="11">
        <f t="shared" si="11"/>
        <v>0</v>
      </c>
      <c r="I70" s="12">
        <f>G70/I12</f>
        <v>0</v>
      </c>
      <c r="J70" s="2"/>
      <c r="K70" s="2"/>
      <c r="L70" s="2"/>
      <c r="M70" s="2"/>
      <c r="N70" s="2"/>
      <c r="O70" s="2"/>
      <c r="P70" s="2"/>
      <c r="Q70" s="2"/>
      <c r="R70" s="2"/>
      <c r="S70" s="2"/>
      <c r="T70" s="2"/>
      <c r="U70" s="2"/>
      <c r="V70" s="2"/>
      <c r="W70" s="2"/>
      <c r="X70" s="2"/>
      <c r="Y70" s="2"/>
      <c r="Z70" s="2"/>
    </row>
    <row r="71" spans="1:26" ht="18.75" customHeight="1" x14ac:dyDescent="0.3">
      <c r="A71" s="53"/>
      <c r="B71" s="27"/>
      <c r="C71" s="19"/>
      <c r="D71" s="19"/>
      <c r="E71" s="19"/>
      <c r="F71" s="20"/>
      <c r="G71" s="54"/>
      <c r="H71" s="11">
        <f t="shared" si="11"/>
        <v>0</v>
      </c>
      <c r="I71" s="12">
        <f>G71/I12</f>
        <v>0</v>
      </c>
      <c r="J71" s="2"/>
      <c r="K71" s="2"/>
      <c r="L71" s="2"/>
      <c r="M71" s="2"/>
      <c r="N71" s="2"/>
      <c r="O71" s="2"/>
      <c r="P71" s="2"/>
      <c r="Q71" s="2"/>
      <c r="R71" s="2"/>
      <c r="S71" s="2"/>
      <c r="T71" s="2"/>
      <c r="U71" s="2"/>
      <c r="V71" s="2"/>
      <c r="W71" s="2"/>
      <c r="X71" s="2"/>
      <c r="Y71" s="2"/>
      <c r="Z71" s="2"/>
    </row>
    <row r="72" spans="1:26" ht="18.75" customHeight="1" x14ac:dyDescent="0.3">
      <c r="A72" s="53"/>
      <c r="B72" s="27"/>
      <c r="C72" s="19"/>
      <c r="D72" s="19"/>
      <c r="E72" s="19"/>
      <c r="F72" s="20"/>
      <c r="G72" s="54"/>
      <c r="H72" s="11">
        <f t="shared" si="11"/>
        <v>0</v>
      </c>
      <c r="I72" s="12">
        <f>G72/I12</f>
        <v>0</v>
      </c>
      <c r="J72" s="2"/>
      <c r="K72" s="2"/>
      <c r="L72" s="2"/>
      <c r="M72" s="2"/>
      <c r="N72" s="2"/>
      <c r="O72" s="2"/>
      <c r="P72" s="2"/>
      <c r="Q72" s="2"/>
      <c r="R72" s="2"/>
      <c r="S72" s="2"/>
      <c r="T72" s="2"/>
      <c r="U72" s="2"/>
      <c r="V72" s="2"/>
      <c r="W72" s="2"/>
      <c r="X72" s="2"/>
      <c r="Y72" s="2"/>
      <c r="Z72" s="2"/>
    </row>
    <row r="73" spans="1:26" ht="18.75" customHeight="1" x14ac:dyDescent="0.3">
      <c r="A73" s="53"/>
      <c r="B73" s="27"/>
      <c r="C73" s="19"/>
      <c r="D73" s="19"/>
      <c r="E73" s="19"/>
      <c r="F73" s="20"/>
      <c r="G73" s="54"/>
      <c r="H73" s="11">
        <f t="shared" si="11"/>
        <v>0</v>
      </c>
      <c r="I73" s="12">
        <f>G73/I12</f>
        <v>0</v>
      </c>
      <c r="J73" s="2"/>
      <c r="K73" s="2"/>
      <c r="L73" s="2"/>
      <c r="M73" s="2"/>
      <c r="N73" s="2"/>
      <c r="O73" s="2"/>
      <c r="P73" s="2"/>
      <c r="Q73" s="2"/>
      <c r="R73" s="2"/>
      <c r="S73" s="2"/>
      <c r="T73" s="2"/>
      <c r="U73" s="2"/>
      <c r="V73" s="2"/>
      <c r="W73" s="2"/>
      <c r="X73" s="2"/>
      <c r="Y73" s="2"/>
      <c r="Z73" s="2"/>
    </row>
    <row r="74" spans="1:26" ht="18.75" customHeight="1" x14ac:dyDescent="0.3">
      <c r="A74" s="53"/>
      <c r="B74" s="27"/>
      <c r="C74" s="19"/>
      <c r="D74" s="19"/>
      <c r="E74" s="19"/>
      <c r="F74" s="20"/>
      <c r="G74" s="54"/>
      <c r="H74" s="11">
        <f t="shared" si="11"/>
        <v>0</v>
      </c>
      <c r="I74" s="12">
        <f>G74/I12</f>
        <v>0</v>
      </c>
      <c r="J74" s="2"/>
      <c r="K74" s="2"/>
      <c r="L74" s="2"/>
      <c r="M74" s="2"/>
      <c r="N74" s="2"/>
      <c r="O74" s="2"/>
      <c r="P74" s="2"/>
      <c r="Q74" s="2"/>
      <c r="R74" s="2"/>
      <c r="S74" s="2"/>
      <c r="T74" s="2"/>
      <c r="U74" s="2"/>
      <c r="V74" s="2"/>
      <c r="W74" s="2"/>
      <c r="X74" s="2"/>
      <c r="Y74" s="2"/>
      <c r="Z74" s="2"/>
    </row>
    <row r="75" spans="1:26" ht="18.75" customHeight="1" x14ac:dyDescent="0.3">
      <c r="A75" s="53"/>
      <c r="B75" s="27"/>
      <c r="C75" s="19"/>
      <c r="D75" s="19"/>
      <c r="E75" s="19"/>
      <c r="F75" s="20"/>
      <c r="G75" s="54"/>
      <c r="H75" s="11">
        <f t="shared" si="11"/>
        <v>0</v>
      </c>
      <c r="I75" s="12">
        <f>G75/I12</f>
        <v>0</v>
      </c>
      <c r="J75" s="2"/>
      <c r="K75" s="2"/>
      <c r="L75" s="2"/>
      <c r="M75" s="2"/>
      <c r="N75" s="2"/>
      <c r="O75" s="2"/>
      <c r="P75" s="2"/>
      <c r="Q75" s="2"/>
      <c r="R75" s="2"/>
      <c r="S75" s="2"/>
      <c r="T75" s="2"/>
      <c r="U75" s="2"/>
      <c r="V75" s="2"/>
      <c r="W75" s="2"/>
      <c r="X75" s="2"/>
      <c r="Y75" s="2"/>
      <c r="Z75" s="2"/>
    </row>
    <row r="76" spans="1:26" ht="18.75" customHeight="1" x14ac:dyDescent="0.3">
      <c r="A76" s="53"/>
      <c r="B76" s="27"/>
      <c r="C76" s="19"/>
      <c r="D76" s="19"/>
      <c r="E76" s="19"/>
      <c r="F76" s="20"/>
      <c r="G76" s="54"/>
      <c r="H76" s="11">
        <f t="shared" si="11"/>
        <v>0</v>
      </c>
      <c r="I76" s="12">
        <f>G76/I12</f>
        <v>0</v>
      </c>
      <c r="J76" s="2"/>
      <c r="K76" s="2"/>
      <c r="L76" s="2"/>
      <c r="M76" s="2"/>
      <c r="N76" s="2"/>
      <c r="O76" s="2"/>
      <c r="P76" s="2"/>
      <c r="Q76" s="2"/>
      <c r="R76" s="2"/>
      <c r="S76" s="2"/>
      <c r="T76" s="2"/>
      <c r="U76" s="2"/>
      <c r="V76" s="2"/>
      <c r="W76" s="2"/>
      <c r="X76" s="2"/>
      <c r="Y76" s="2"/>
      <c r="Z76" s="2"/>
    </row>
    <row r="77" spans="1:26" ht="18.75" customHeight="1" x14ac:dyDescent="0.3">
      <c r="A77" s="63"/>
      <c r="B77" s="139"/>
      <c r="C77" s="140"/>
      <c r="D77" s="140"/>
      <c r="E77" s="140"/>
      <c r="F77" s="141"/>
      <c r="G77" s="54"/>
      <c r="H77" s="11">
        <f t="shared" si="11"/>
        <v>0</v>
      </c>
      <c r="I77" s="12">
        <f>G77/I12</f>
        <v>0</v>
      </c>
      <c r="J77" s="2"/>
      <c r="K77" s="2"/>
      <c r="L77" s="2"/>
      <c r="M77" s="2"/>
      <c r="N77" s="2"/>
      <c r="O77" s="2"/>
      <c r="P77" s="2"/>
      <c r="Q77" s="2"/>
      <c r="R77" s="2"/>
      <c r="S77" s="2"/>
      <c r="T77" s="2"/>
      <c r="U77" s="2"/>
      <c r="V77" s="2"/>
      <c r="W77" s="2"/>
      <c r="X77" s="2"/>
      <c r="Y77" s="2"/>
      <c r="Z77" s="2"/>
    </row>
    <row r="78" spans="1:26" ht="18.75" customHeight="1" x14ac:dyDescent="0.3">
      <c r="A78" s="138" t="s">
        <v>52</v>
      </c>
      <c r="B78" s="101"/>
      <c r="C78" s="101"/>
      <c r="D78" s="101"/>
      <c r="E78" s="101"/>
      <c r="F78" s="121"/>
      <c r="G78" s="13">
        <f t="shared" ref="G78:I78" si="12">SUM(G63:G77)</f>
        <v>3200</v>
      </c>
      <c r="H78" s="14">
        <f>SUM(H63:H77)</f>
        <v>35.55555555555555</v>
      </c>
      <c r="I78" s="15">
        <f t="shared" si="12"/>
        <v>7.3563218390804606</v>
      </c>
      <c r="J78" s="2"/>
      <c r="K78" s="2"/>
      <c r="L78" s="2"/>
      <c r="M78" s="2"/>
      <c r="N78" s="2"/>
      <c r="O78" s="2"/>
      <c r="P78" s="2"/>
      <c r="Q78" s="2"/>
      <c r="R78" s="2"/>
      <c r="S78" s="2"/>
      <c r="T78" s="2"/>
      <c r="U78" s="2"/>
      <c r="V78" s="2"/>
      <c r="W78" s="2"/>
      <c r="X78" s="2"/>
      <c r="Y78" s="2"/>
      <c r="Z78" s="2"/>
    </row>
    <row r="79" spans="1:26" ht="18.75" customHeight="1" x14ac:dyDescent="0.3">
      <c r="A79" s="1"/>
      <c r="B79" s="2"/>
      <c r="C79" s="2"/>
      <c r="D79" s="2"/>
      <c r="E79" s="2"/>
      <c r="F79" s="2"/>
      <c r="G79" s="32"/>
      <c r="H79" s="32"/>
      <c r="I79" s="32"/>
      <c r="J79" s="2"/>
      <c r="K79" s="2"/>
      <c r="L79" s="2"/>
      <c r="M79" s="2"/>
      <c r="N79" s="2"/>
      <c r="O79" s="2"/>
      <c r="P79" s="2"/>
      <c r="Q79" s="2"/>
      <c r="R79" s="2"/>
      <c r="S79" s="2"/>
      <c r="T79" s="2"/>
      <c r="U79" s="2"/>
      <c r="V79" s="2"/>
      <c r="W79" s="2"/>
      <c r="X79" s="2"/>
      <c r="Y79" s="2"/>
      <c r="Z79" s="2"/>
    </row>
    <row r="80" spans="1:26" ht="18.75" customHeight="1" x14ac:dyDescent="0.3">
      <c r="A80" s="130" t="s">
        <v>53</v>
      </c>
      <c r="B80" s="128"/>
      <c r="C80" s="129"/>
      <c r="D80" s="129"/>
      <c r="E80" s="129"/>
      <c r="F80" s="129"/>
      <c r="G80" s="129"/>
      <c r="H80" s="128"/>
      <c r="I80" s="128"/>
      <c r="J80" s="8"/>
      <c r="K80" s="8"/>
      <c r="L80" s="8"/>
      <c r="M80" s="8"/>
      <c r="N80" s="8"/>
      <c r="O80" s="8"/>
      <c r="P80" s="8"/>
      <c r="Q80" s="8"/>
      <c r="R80" s="8"/>
      <c r="S80" s="8"/>
      <c r="T80" s="8"/>
      <c r="U80" s="8"/>
      <c r="V80" s="8"/>
      <c r="W80" s="8"/>
      <c r="X80" s="8"/>
      <c r="Y80" s="8"/>
      <c r="Z80" s="8"/>
    </row>
    <row r="81" spans="1:26" ht="18.75" customHeight="1" x14ac:dyDescent="0.3">
      <c r="A81" s="230" t="s">
        <v>202</v>
      </c>
      <c r="B81" s="190"/>
      <c r="C81" s="231"/>
      <c r="D81" s="231"/>
      <c r="E81" s="229"/>
      <c r="F81" s="229"/>
      <c r="G81" s="229"/>
      <c r="H81" s="228"/>
      <c r="I81" s="228"/>
      <c r="J81" s="8"/>
      <c r="K81" s="8"/>
      <c r="L81" s="8"/>
      <c r="M81" s="8"/>
      <c r="N81" s="8"/>
      <c r="O81" s="8"/>
      <c r="P81" s="8"/>
      <c r="Q81" s="8"/>
      <c r="R81" s="8"/>
      <c r="S81" s="8"/>
      <c r="T81" s="8"/>
      <c r="U81" s="8"/>
      <c r="V81" s="8"/>
      <c r="W81" s="8"/>
      <c r="X81" s="8"/>
      <c r="Y81" s="8"/>
      <c r="Z81" s="8"/>
    </row>
    <row r="82" spans="1:26" ht="18.75" customHeight="1" x14ac:dyDescent="0.3">
      <c r="A82" s="3" t="s">
        <v>44</v>
      </c>
      <c r="B82" s="27"/>
      <c r="C82" s="28"/>
      <c r="D82" s="28"/>
      <c r="E82" s="28"/>
      <c r="F82" s="29"/>
      <c r="G82" s="5" t="s">
        <v>45</v>
      </c>
      <c r="H82" s="5" t="s">
        <v>9</v>
      </c>
      <c r="I82" s="3" t="s">
        <v>10</v>
      </c>
      <c r="J82" s="2"/>
      <c r="K82" s="2"/>
      <c r="L82" s="2"/>
      <c r="M82" s="2"/>
      <c r="N82" s="2"/>
      <c r="O82" s="2"/>
      <c r="P82" s="2"/>
      <c r="Q82" s="2"/>
      <c r="R82" s="2"/>
      <c r="S82" s="2"/>
      <c r="T82" s="2"/>
      <c r="U82" s="2"/>
      <c r="V82" s="2"/>
      <c r="W82" s="2"/>
      <c r="X82" s="2"/>
      <c r="Y82" s="2"/>
      <c r="Z82" s="2"/>
    </row>
    <row r="83" spans="1:26" ht="18.75" customHeight="1" x14ac:dyDescent="0.3">
      <c r="A83" s="53" t="s">
        <v>54</v>
      </c>
      <c r="B83" s="27"/>
      <c r="C83" s="19"/>
      <c r="D83" s="19"/>
      <c r="E83" s="19"/>
      <c r="F83" s="20"/>
      <c r="G83" s="54">
        <v>720</v>
      </c>
      <c r="H83" s="11">
        <f t="shared" ref="H83:H91" si="13">G83/$H$8</f>
        <v>8</v>
      </c>
      <c r="I83" s="12">
        <f>G83/I12</f>
        <v>1.6551724137931034</v>
      </c>
      <c r="J83" s="2"/>
      <c r="K83" s="2"/>
      <c r="L83" s="2"/>
      <c r="M83" s="2"/>
      <c r="N83" s="2"/>
      <c r="O83" s="2"/>
      <c r="P83" s="2"/>
      <c r="Q83" s="2"/>
      <c r="R83" s="2"/>
      <c r="S83" s="2"/>
      <c r="T83" s="2"/>
      <c r="U83" s="2"/>
      <c r="V83" s="2"/>
      <c r="W83" s="2"/>
      <c r="X83" s="2"/>
      <c r="Y83" s="2"/>
      <c r="Z83" s="2"/>
    </row>
    <row r="84" spans="1:26" ht="18.75" customHeight="1" x14ac:dyDescent="0.3">
      <c r="A84" s="53" t="s">
        <v>55</v>
      </c>
      <c r="B84" s="27"/>
      <c r="C84" s="19"/>
      <c r="D84" s="19"/>
      <c r="E84" s="19"/>
      <c r="F84" s="20"/>
      <c r="G84" s="54">
        <v>750</v>
      </c>
      <c r="H84" s="11">
        <f t="shared" si="13"/>
        <v>8.3333333333333339</v>
      </c>
      <c r="I84" s="12">
        <f>G84/I12</f>
        <v>1.7241379310344827</v>
      </c>
      <c r="J84" s="2"/>
      <c r="K84" s="2"/>
      <c r="L84" s="2"/>
      <c r="M84" s="2"/>
      <c r="N84" s="2"/>
      <c r="O84" s="2"/>
      <c r="P84" s="2"/>
      <c r="Q84" s="2"/>
      <c r="R84" s="2"/>
      <c r="S84" s="2"/>
      <c r="T84" s="2"/>
      <c r="U84" s="2"/>
      <c r="V84" s="2"/>
      <c r="W84" s="2"/>
      <c r="X84" s="2"/>
      <c r="Y84" s="2"/>
      <c r="Z84" s="2"/>
    </row>
    <row r="85" spans="1:26" ht="18.75" customHeight="1" x14ac:dyDescent="0.3">
      <c r="A85" s="53" t="s">
        <v>56</v>
      </c>
      <c r="B85" s="27"/>
      <c r="C85" s="19"/>
      <c r="D85" s="19"/>
      <c r="E85" s="19"/>
      <c r="F85" s="20"/>
      <c r="G85" s="54">
        <v>400</v>
      </c>
      <c r="H85" s="11">
        <f t="shared" si="13"/>
        <v>4.4444444444444446</v>
      </c>
      <c r="I85" s="12">
        <f>G85/I12</f>
        <v>0.91954022988505746</v>
      </c>
      <c r="J85" s="2"/>
      <c r="K85" s="2"/>
      <c r="L85" s="2"/>
      <c r="M85" s="2"/>
      <c r="N85" s="2"/>
      <c r="O85" s="2"/>
      <c r="P85" s="2"/>
      <c r="Q85" s="2"/>
      <c r="R85" s="2"/>
      <c r="S85" s="2"/>
      <c r="T85" s="2"/>
      <c r="U85" s="2"/>
      <c r="V85" s="2"/>
      <c r="W85" s="2"/>
      <c r="X85" s="2"/>
      <c r="Y85" s="2"/>
      <c r="Z85" s="2"/>
    </row>
    <row r="86" spans="1:26" ht="18.75" customHeight="1" x14ac:dyDescent="0.3">
      <c r="A86" s="53" t="s">
        <v>57</v>
      </c>
      <c r="B86" s="27"/>
      <c r="C86" s="19"/>
      <c r="D86" s="19"/>
      <c r="E86" s="19"/>
      <c r="F86" s="20"/>
      <c r="G86" s="54">
        <v>250</v>
      </c>
      <c r="H86" s="11">
        <f t="shared" si="13"/>
        <v>2.7777777777777777</v>
      </c>
      <c r="I86" s="12">
        <f>G86/I12</f>
        <v>0.57471264367816088</v>
      </c>
      <c r="J86" s="2"/>
      <c r="K86" s="2"/>
      <c r="L86" s="2"/>
      <c r="M86" s="2"/>
      <c r="N86" s="2"/>
      <c r="O86" s="2"/>
      <c r="P86" s="2"/>
      <c r="Q86" s="2"/>
      <c r="R86" s="2"/>
      <c r="S86" s="2"/>
      <c r="T86" s="2"/>
      <c r="U86" s="2"/>
      <c r="V86" s="2"/>
      <c r="W86" s="2"/>
      <c r="X86" s="2"/>
      <c r="Y86" s="2"/>
      <c r="Z86" s="2"/>
    </row>
    <row r="87" spans="1:26" ht="18.75" customHeight="1" x14ac:dyDescent="0.3">
      <c r="A87" s="53"/>
      <c r="B87" s="27"/>
      <c r="C87" s="19"/>
      <c r="D87" s="19"/>
      <c r="E87" s="19"/>
      <c r="F87" s="20"/>
      <c r="G87" s="54"/>
      <c r="H87" s="11">
        <f t="shared" si="13"/>
        <v>0</v>
      </c>
      <c r="I87" s="12">
        <f>G87/I12</f>
        <v>0</v>
      </c>
      <c r="J87" s="2"/>
      <c r="K87" s="2"/>
      <c r="L87" s="2"/>
      <c r="M87" s="2"/>
      <c r="N87" s="2"/>
      <c r="O87" s="2"/>
      <c r="P87" s="2"/>
      <c r="Q87" s="2"/>
      <c r="R87" s="2"/>
      <c r="S87" s="2"/>
      <c r="T87" s="2"/>
      <c r="U87" s="2"/>
      <c r="V87" s="2"/>
      <c r="W87" s="2"/>
      <c r="X87" s="2"/>
      <c r="Y87" s="2"/>
      <c r="Z87" s="2"/>
    </row>
    <row r="88" spans="1:26" ht="18.75" customHeight="1" x14ac:dyDescent="0.3">
      <c r="A88" s="53" t="s">
        <v>58</v>
      </c>
      <c r="B88" s="27"/>
      <c r="C88" s="19"/>
      <c r="D88" s="19"/>
      <c r="E88" s="19"/>
      <c r="F88" s="20"/>
      <c r="G88" s="54">
        <v>750</v>
      </c>
      <c r="H88" s="11">
        <f t="shared" si="13"/>
        <v>8.3333333333333339</v>
      </c>
      <c r="I88" s="12">
        <f>G88/I12</f>
        <v>1.7241379310344827</v>
      </c>
      <c r="J88" s="2"/>
      <c r="K88" s="2"/>
      <c r="L88" s="2"/>
      <c r="M88" s="2"/>
      <c r="N88" s="2"/>
      <c r="O88" s="2"/>
      <c r="P88" s="2"/>
      <c r="Q88" s="2"/>
      <c r="R88" s="2"/>
      <c r="S88" s="2"/>
      <c r="T88" s="2"/>
      <c r="U88" s="2"/>
      <c r="V88" s="2"/>
      <c r="W88" s="2"/>
      <c r="X88" s="2"/>
      <c r="Y88" s="2"/>
      <c r="Z88" s="2"/>
    </row>
    <row r="89" spans="1:26" ht="18.75" customHeight="1" x14ac:dyDescent="0.3">
      <c r="A89" s="53"/>
      <c r="B89" s="27"/>
      <c r="C89" s="19"/>
      <c r="D89" s="19"/>
      <c r="E89" s="19"/>
      <c r="F89" s="20"/>
      <c r="G89" s="54"/>
      <c r="H89" s="11">
        <f t="shared" si="13"/>
        <v>0</v>
      </c>
      <c r="I89" s="12">
        <f>G89/I12</f>
        <v>0</v>
      </c>
      <c r="J89" s="2"/>
      <c r="K89" s="2"/>
      <c r="L89" s="2"/>
      <c r="M89" s="2"/>
      <c r="N89" s="2"/>
      <c r="O89" s="2"/>
      <c r="P89" s="2"/>
      <c r="Q89" s="2"/>
      <c r="R89" s="2"/>
      <c r="S89" s="2"/>
      <c r="T89" s="2"/>
      <c r="U89" s="2"/>
      <c r="V89" s="2"/>
      <c r="W89" s="2"/>
      <c r="X89" s="2"/>
      <c r="Y89" s="2"/>
      <c r="Z89" s="2"/>
    </row>
    <row r="90" spans="1:26" ht="18.75" customHeight="1" x14ac:dyDescent="0.3">
      <c r="A90" s="53"/>
      <c r="B90" s="27"/>
      <c r="C90" s="19"/>
      <c r="D90" s="19"/>
      <c r="E90" s="19"/>
      <c r="F90" s="20"/>
      <c r="G90" s="54"/>
      <c r="H90" s="11">
        <f t="shared" si="13"/>
        <v>0</v>
      </c>
      <c r="I90" s="12">
        <f>G90/I12</f>
        <v>0</v>
      </c>
      <c r="J90" s="2"/>
      <c r="K90" s="2"/>
      <c r="L90" s="2"/>
      <c r="M90" s="2"/>
      <c r="N90" s="2"/>
      <c r="O90" s="2"/>
      <c r="P90" s="2"/>
      <c r="Q90" s="2"/>
      <c r="R90" s="2"/>
      <c r="S90" s="2"/>
      <c r="T90" s="2"/>
      <c r="U90" s="2"/>
      <c r="V90" s="2"/>
      <c r="W90" s="2"/>
      <c r="X90" s="2"/>
      <c r="Y90" s="2"/>
      <c r="Z90" s="2"/>
    </row>
    <row r="91" spans="1:26" ht="18.75" customHeight="1" x14ac:dyDescent="0.3">
      <c r="A91" s="63"/>
      <c r="B91" s="27"/>
      <c r="C91" s="19"/>
      <c r="D91" s="19"/>
      <c r="E91" s="19"/>
      <c r="F91" s="20"/>
      <c r="G91" s="54"/>
      <c r="H91" s="11">
        <f t="shared" si="13"/>
        <v>0</v>
      </c>
      <c r="I91" s="12">
        <f>G91/I12</f>
        <v>0</v>
      </c>
      <c r="J91" s="2"/>
      <c r="K91" s="2"/>
      <c r="L91" s="2"/>
      <c r="M91" s="2"/>
      <c r="N91" s="2"/>
      <c r="O91" s="2"/>
      <c r="P91" s="2"/>
      <c r="Q91" s="2"/>
      <c r="R91" s="2"/>
      <c r="S91" s="2"/>
      <c r="T91" s="2"/>
      <c r="U91" s="2"/>
      <c r="V91" s="2"/>
      <c r="W91" s="2"/>
      <c r="X91" s="2"/>
      <c r="Y91" s="2"/>
      <c r="Z91" s="2"/>
    </row>
    <row r="92" spans="1:26" ht="18.75" customHeight="1" x14ac:dyDescent="0.3">
      <c r="A92" s="138" t="s">
        <v>59</v>
      </c>
      <c r="B92" s="136"/>
      <c r="C92" s="136"/>
      <c r="D92" s="136"/>
      <c r="E92" s="136"/>
      <c r="F92" s="137"/>
      <c r="G92" s="13">
        <f>SUM(G83:G91)</f>
        <v>2870</v>
      </c>
      <c r="H92" s="14">
        <f>SUM(H83:H91)</f>
        <v>31.888888888888893</v>
      </c>
      <c r="I92" s="15">
        <f>SUM(I83:I91)</f>
        <v>6.5977011494252871</v>
      </c>
      <c r="J92" s="1"/>
      <c r="K92" s="1"/>
      <c r="L92" s="1"/>
      <c r="M92" s="1"/>
      <c r="N92" s="1"/>
      <c r="O92" s="1"/>
      <c r="P92" s="1"/>
      <c r="Q92" s="1"/>
      <c r="R92" s="1"/>
      <c r="S92" s="1"/>
      <c r="T92" s="1"/>
      <c r="U92" s="1"/>
      <c r="V92" s="1"/>
      <c r="W92" s="1"/>
      <c r="X92" s="1"/>
      <c r="Y92" s="1"/>
      <c r="Z92" s="1"/>
    </row>
    <row r="93" spans="1:26" ht="18.75" customHeight="1" x14ac:dyDescent="0.3">
      <c r="A93" s="1"/>
      <c r="B93" s="1"/>
      <c r="C93" s="1"/>
      <c r="D93" s="1"/>
      <c r="E93" s="1"/>
      <c r="F93" s="1"/>
      <c r="G93" s="32"/>
      <c r="H93" s="32"/>
      <c r="I93" s="32"/>
      <c r="J93" s="1"/>
      <c r="K93" s="1"/>
      <c r="L93" s="1"/>
      <c r="M93" s="1"/>
      <c r="N93" s="1"/>
      <c r="O93" s="1"/>
      <c r="P93" s="1"/>
      <c r="Q93" s="1"/>
      <c r="R93" s="1"/>
      <c r="S93" s="1"/>
      <c r="T93" s="1"/>
      <c r="U93" s="1"/>
      <c r="V93" s="1"/>
      <c r="W93" s="1"/>
      <c r="X93" s="1"/>
      <c r="Y93" s="1"/>
      <c r="Z93" s="1"/>
    </row>
    <row r="94" spans="1:26" ht="18.75" customHeight="1" x14ac:dyDescent="0.3">
      <c r="A94" s="127" t="s">
        <v>145</v>
      </c>
      <c r="B94" s="126"/>
      <c r="C94" s="126"/>
      <c r="D94" s="126"/>
      <c r="E94" s="126"/>
      <c r="F94" s="126"/>
      <c r="G94" s="126"/>
      <c r="H94" s="126"/>
      <c r="I94" s="126"/>
      <c r="J94" s="2"/>
      <c r="K94" s="2"/>
      <c r="L94" s="2"/>
      <c r="M94" s="2"/>
      <c r="N94" s="2"/>
      <c r="O94" s="2"/>
      <c r="P94" s="2"/>
      <c r="Q94" s="2"/>
      <c r="R94" s="2"/>
      <c r="S94" s="2"/>
      <c r="T94" s="2"/>
      <c r="U94" s="2"/>
      <c r="V94" s="2"/>
      <c r="W94" s="2"/>
      <c r="X94" s="2"/>
      <c r="Y94" s="2"/>
      <c r="Z94" s="2"/>
    </row>
    <row r="95" spans="1:26" ht="37.5" customHeight="1" x14ac:dyDescent="0.3">
      <c r="A95" s="17" t="s">
        <v>44</v>
      </c>
      <c r="B95" s="8"/>
      <c r="C95" s="8"/>
      <c r="D95" s="8"/>
      <c r="E95" s="104" t="s">
        <v>135</v>
      </c>
      <c r="F95" s="10" t="s">
        <v>87</v>
      </c>
      <c r="G95" s="10" t="s">
        <v>88</v>
      </c>
      <c r="H95" s="5" t="s">
        <v>9</v>
      </c>
      <c r="I95" s="10" t="s">
        <v>10</v>
      </c>
      <c r="J95" s="8"/>
      <c r="K95" s="8"/>
      <c r="L95" s="8"/>
      <c r="M95" s="8"/>
      <c r="N95" s="8"/>
      <c r="O95" s="8"/>
      <c r="P95" s="8"/>
      <c r="Q95" s="8"/>
      <c r="R95" s="8"/>
      <c r="S95" s="8"/>
      <c r="T95" s="8"/>
      <c r="U95" s="8"/>
      <c r="V95" s="8"/>
      <c r="W95" s="8"/>
      <c r="X95" s="8"/>
      <c r="Y95" s="8"/>
      <c r="Z95" s="8"/>
    </row>
    <row r="96" spans="1:26" ht="18.75" customHeight="1" x14ac:dyDescent="0.3">
      <c r="A96" s="18" t="s">
        <v>89</v>
      </c>
      <c r="B96" s="19"/>
      <c r="C96" s="19"/>
      <c r="D96" s="20"/>
      <c r="E96" s="54">
        <v>2100</v>
      </c>
      <c r="F96" s="158">
        <v>0</v>
      </c>
      <c r="G96" s="16">
        <f>E96*F96</f>
        <v>0</v>
      </c>
      <c r="H96" s="11">
        <f t="shared" ref="H96:H112" si="14">G96/$H$8</f>
        <v>0</v>
      </c>
      <c r="I96" s="12">
        <f>G96/I12</f>
        <v>0</v>
      </c>
      <c r="J96" s="2"/>
      <c r="K96" s="2"/>
      <c r="L96" s="2"/>
      <c r="M96" s="2"/>
      <c r="N96" s="2"/>
      <c r="O96" s="2"/>
      <c r="P96" s="2"/>
      <c r="Q96" s="2"/>
      <c r="R96" s="2"/>
      <c r="S96" s="2"/>
      <c r="T96" s="2"/>
      <c r="U96" s="2"/>
      <c r="V96" s="2"/>
      <c r="W96" s="2"/>
      <c r="X96" s="2"/>
      <c r="Y96" s="2"/>
      <c r="Z96" s="2"/>
    </row>
    <row r="97" spans="1:26" ht="18.75" customHeight="1" x14ac:dyDescent="0.3">
      <c r="A97" s="18" t="s">
        <v>90</v>
      </c>
      <c r="B97" s="19"/>
      <c r="C97" s="19"/>
      <c r="D97" s="20"/>
      <c r="E97" s="54">
        <v>720</v>
      </c>
      <c r="F97" s="158">
        <v>1</v>
      </c>
      <c r="G97" s="16">
        <f t="shared" ref="G97:G112" si="15">E97*F97</f>
        <v>720</v>
      </c>
      <c r="H97" s="11">
        <f t="shared" si="14"/>
        <v>8</v>
      </c>
      <c r="I97" s="12">
        <f>G97/I12</f>
        <v>1.6551724137931034</v>
      </c>
      <c r="J97" s="2"/>
      <c r="K97" s="2"/>
      <c r="L97" s="2"/>
      <c r="M97" s="2"/>
      <c r="N97" s="2"/>
      <c r="O97" s="2"/>
      <c r="P97" s="2"/>
      <c r="Q97" s="2"/>
      <c r="R97" s="2"/>
      <c r="S97" s="2"/>
      <c r="T97" s="2"/>
      <c r="U97" s="2"/>
      <c r="V97" s="2"/>
      <c r="W97" s="2"/>
      <c r="X97" s="2"/>
      <c r="Y97" s="2"/>
      <c r="Z97" s="2"/>
    </row>
    <row r="98" spans="1:26" ht="18.75" customHeight="1" x14ac:dyDescent="0.3">
      <c r="A98" s="18" t="s">
        <v>91</v>
      </c>
      <c r="B98" s="19"/>
      <c r="C98" s="19"/>
      <c r="D98" s="20"/>
      <c r="E98" s="54">
        <v>5400</v>
      </c>
      <c r="F98" s="158">
        <v>0.4</v>
      </c>
      <c r="G98" s="16">
        <f t="shared" si="15"/>
        <v>2160</v>
      </c>
      <c r="H98" s="11">
        <f t="shared" si="14"/>
        <v>24</v>
      </c>
      <c r="I98" s="12">
        <f>G98/I12</f>
        <v>4.9655172413793105</v>
      </c>
      <c r="J98" s="2"/>
      <c r="K98" s="2"/>
      <c r="L98" s="2"/>
      <c r="M98" s="2"/>
      <c r="N98" s="2"/>
      <c r="O98" s="2"/>
      <c r="P98" s="2"/>
      <c r="Q98" s="2"/>
      <c r="R98" s="2"/>
      <c r="S98" s="2"/>
      <c r="T98" s="2"/>
      <c r="U98" s="2"/>
      <c r="V98" s="2"/>
      <c r="W98" s="2"/>
      <c r="X98" s="2"/>
      <c r="Y98" s="2"/>
      <c r="Z98" s="2"/>
    </row>
    <row r="99" spans="1:26" ht="18.75" customHeight="1" x14ac:dyDescent="0.3">
      <c r="A99" s="18" t="s">
        <v>92</v>
      </c>
      <c r="B99" s="19"/>
      <c r="C99" s="19"/>
      <c r="D99" s="20"/>
      <c r="E99" s="54">
        <v>1620</v>
      </c>
      <c r="F99" s="158">
        <v>0.3</v>
      </c>
      <c r="G99" s="16">
        <f t="shared" si="15"/>
        <v>486</v>
      </c>
      <c r="H99" s="11">
        <f t="shared" si="14"/>
        <v>5.4</v>
      </c>
      <c r="I99" s="12">
        <f>G99/I12</f>
        <v>1.1172413793103448</v>
      </c>
      <c r="J99" s="2"/>
      <c r="K99" s="2"/>
      <c r="L99" s="2"/>
      <c r="M99" s="2"/>
      <c r="N99" s="2"/>
      <c r="O99" s="2"/>
      <c r="P99" s="2"/>
      <c r="Q99" s="2"/>
      <c r="R99" s="2"/>
      <c r="S99" s="2"/>
      <c r="T99" s="2"/>
      <c r="U99" s="2"/>
      <c r="V99" s="2"/>
      <c r="W99" s="2"/>
      <c r="X99" s="2"/>
      <c r="Y99" s="2"/>
      <c r="Z99" s="2"/>
    </row>
    <row r="100" spans="1:26" ht="18.75" customHeight="1" x14ac:dyDescent="0.3">
      <c r="A100" s="21" t="s">
        <v>93</v>
      </c>
      <c r="B100" s="19"/>
      <c r="C100" s="19"/>
      <c r="D100" s="20"/>
      <c r="E100" s="54">
        <v>4050</v>
      </c>
      <c r="F100" s="158">
        <v>0.25</v>
      </c>
      <c r="G100" s="16">
        <f t="shared" si="15"/>
        <v>1012.5</v>
      </c>
      <c r="H100" s="11">
        <f t="shared" si="14"/>
        <v>11.25</v>
      </c>
      <c r="I100" s="12">
        <f>G100/I12</f>
        <v>2.3275862068965516</v>
      </c>
      <c r="J100" s="2"/>
      <c r="K100" s="2"/>
      <c r="L100" s="2"/>
      <c r="M100" s="2"/>
      <c r="N100" s="2"/>
      <c r="O100" s="2"/>
      <c r="P100" s="2"/>
      <c r="Q100" s="2"/>
      <c r="R100" s="2"/>
      <c r="S100" s="2"/>
      <c r="T100" s="2"/>
      <c r="U100" s="2"/>
      <c r="V100" s="2"/>
      <c r="W100" s="2"/>
      <c r="X100" s="2"/>
      <c r="Y100" s="2"/>
      <c r="Z100" s="2"/>
    </row>
    <row r="101" spans="1:26" ht="18.75" customHeight="1" x14ac:dyDescent="0.3">
      <c r="A101" s="21" t="s">
        <v>94</v>
      </c>
      <c r="B101" s="19"/>
      <c r="C101" s="19"/>
      <c r="D101" s="20"/>
      <c r="E101" s="54">
        <v>3240</v>
      </c>
      <c r="F101" s="158">
        <v>0.65</v>
      </c>
      <c r="G101" s="16">
        <f t="shared" si="15"/>
        <v>2106</v>
      </c>
      <c r="H101" s="11">
        <f t="shared" si="14"/>
        <v>23.4</v>
      </c>
      <c r="I101" s="12">
        <f>G101/I12</f>
        <v>4.8413793103448279</v>
      </c>
      <c r="J101" s="2"/>
      <c r="K101" s="2"/>
      <c r="L101" s="2"/>
      <c r="M101" s="2"/>
      <c r="N101" s="2"/>
      <c r="O101" s="2"/>
      <c r="P101" s="2"/>
      <c r="Q101" s="2"/>
      <c r="R101" s="2"/>
      <c r="S101" s="2"/>
      <c r="T101" s="2"/>
      <c r="U101" s="2"/>
      <c r="V101" s="2"/>
      <c r="W101" s="2"/>
      <c r="X101" s="2"/>
      <c r="Y101" s="2"/>
      <c r="Z101" s="2"/>
    </row>
    <row r="102" spans="1:26" ht="18.75" customHeight="1" x14ac:dyDescent="0.3">
      <c r="A102" s="21" t="s">
        <v>97</v>
      </c>
      <c r="B102" s="19"/>
      <c r="C102" s="19"/>
      <c r="D102" s="20"/>
      <c r="E102" s="54"/>
      <c r="F102" s="158"/>
      <c r="G102" s="16">
        <f t="shared" si="15"/>
        <v>0</v>
      </c>
      <c r="H102" s="11">
        <f t="shared" si="14"/>
        <v>0</v>
      </c>
      <c r="I102" s="12">
        <f>G102/I12</f>
        <v>0</v>
      </c>
      <c r="J102" s="2"/>
      <c r="K102" s="2"/>
      <c r="L102" s="2"/>
      <c r="M102" s="2"/>
      <c r="N102" s="2"/>
      <c r="O102" s="2"/>
      <c r="P102" s="2"/>
      <c r="Q102" s="2"/>
      <c r="R102" s="2"/>
      <c r="S102" s="2"/>
      <c r="T102" s="2"/>
      <c r="U102" s="2"/>
      <c r="V102" s="2"/>
      <c r="W102" s="2"/>
      <c r="X102" s="2"/>
      <c r="Y102" s="2"/>
      <c r="Z102" s="2"/>
    </row>
    <row r="103" spans="1:26" ht="18.75" customHeight="1" x14ac:dyDescent="0.3">
      <c r="A103" s="21" t="s">
        <v>98</v>
      </c>
      <c r="B103" s="19"/>
      <c r="C103" s="19"/>
      <c r="D103" s="20"/>
      <c r="E103" s="54"/>
      <c r="F103" s="158"/>
      <c r="G103" s="16">
        <f t="shared" si="15"/>
        <v>0</v>
      </c>
      <c r="H103" s="11">
        <f t="shared" si="14"/>
        <v>0</v>
      </c>
      <c r="I103" s="12">
        <f>G103/I12</f>
        <v>0</v>
      </c>
      <c r="J103" s="2"/>
      <c r="K103" s="2"/>
      <c r="L103" s="2"/>
      <c r="M103" s="2"/>
      <c r="N103" s="2"/>
      <c r="O103" s="2"/>
      <c r="P103" s="2"/>
      <c r="Q103" s="2"/>
      <c r="R103" s="2"/>
      <c r="S103" s="2"/>
      <c r="T103" s="2"/>
      <c r="U103" s="2"/>
      <c r="V103" s="2"/>
      <c r="W103" s="2"/>
      <c r="X103" s="2"/>
      <c r="Y103" s="2"/>
      <c r="Z103" s="2"/>
    </row>
    <row r="104" spans="1:26" ht="18.75" customHeight="1" x14ac:dyDescent="0.3">
      <c r="A104" s="18" t="s">
        <v>99</v>
      </c>
      <c r="B104" s="19"/>
      <c r="C104" s="19"/>
      <c r="D104" s="20"/>
      <c r="E104" s="54"/>
      <c r="F104" s="158"/>
      <c r="G104" s="16">
        <f t="shared" si="15"/>
        <v>0</v>
      </c>
      <c r="H104" s="11">
        <f t="shared" si="14"/>
        <v>0</v>
      </c>
      <c r="I104" s="12">
        <f>G104/I12</f>
        <v>0</v>
      </c>
      <c r="J104" s="2"/>
      <c r="K104" s="2"/>
      <c r="L104" s="2"/>
      <c r="M104" s="2"/>
      <c r="N104" s="2"/>
      <c r="O104" s="2"/>
      <c r="P104" s="2"/>
      <c r="Q104" s="2"/>
      <c r="R104" s="2"/>
      <c r="S104" s="2"/>
      <c r="T104" s="2"/>
      <c r="U104" s="2"/>
      <c r="V104" s="2"/>
      <c r="W104" s="2"/>
      <c r="X104" s="2"/>
      <c r="Y104" s="2"/>
      <c r="Z104" s="2"/>
    </row>
    <row r="105" spans="1:26" ht="18.75" customHeight="1" x14ac:dyDescent="0.3">
      <c r="A105" s="18" t="s">
        <v>100</v>
      </c>
      <c r="B105" s="19"/>
      <c r="C105" s="19"/>
      <c r="D105" s="20"/>
      <c r="E105" s="54"/>
      <c r="F105" s="158"/>
      <c r="G105" s="16">
        <f t="shared" si="15"/>
        <v>0</v>
      </c>
      <c r="H105" s="11">
        <f t="shared" si="14"/>
        <v>0</v>
      </c>
      <c r="I105" s="12">
        <f>G105/I12</f>
        <v>0</v>
      </c>
      <c r="J105" s="2"/>
      <c r="K105" s="2"/>
      <c r="L105" s="2"/>
      <c r="M105" s="2"/>
      <c r="N105" s="2"/>
      <c r="O105" s="2"/>
      <c r="P105" s="2"/>
      <c r="Q105" s="2"/>
      <c r="R105" s="2"/>
      <c r="S105" s="2"/>
      <c r="T105" s="2"/>
      <c r="U105" s="2"/>
      <c r="V105" s="2"/>
      <c r="W105" s="2"/>
      <c r="X105" s="2"/>
      <c r="Y105" s="2"/>
      <c r="Z105" s="2"/>
    </row>
    <row r="106" spans="1:26" ht="18.75" customHeight="1" x14ac:dyDescent="0.3">
      <c r="A106" s="18" t="s">
        <v>101</v>
      </c>
      <c r="B106" s="19"/>
      <c r="C106" s="19"/>
      <c r="D106" s="20"/>
      <c r="E106" s="54"/>
      <c r="F106" s="158"/>
      <c r="G106" s="16">
        <f t="shared" si="15"/>
        <v>0</v>
      </c>
      <c r="H106" s="11">
        <f t="shared" si="14"/>
        <v>0</v>
      </c>
      <c r="I106" s="12">
        <f>G106/I12</f>
        <v>0</v>
      </c>
      <c r="J106" s="2"/>
      <c r="K106" s="2"/>
      <c r="L106" s="2"/>
      <c r="M106" s="2"/>
      <c r="N106" s="2"/>
      <c r="O106" s="2"/>
      <c r="P106" s="2"/>
      <c r="Q106" s="2"/>
      <c r="R106" s="2"/>
      <c r="S106" s="2"/>
      <c r="T106" s="2"/>
      <c r="U106" s="2"/>
      <c r="V106" s="2"/>
      <c r="W106" s="2"/>
      <c r="X106" s="2"/>
      <c r="Y106" s="2"/>
      <c r="Z106" s="2"/>
    </row>
    <row r="107" spans="1:26" ht="18.75" customHeight="1" x14ac:dyDescent="0.3">
      <c r="A107" s="22" t="s">
        <v>102</v>
      </c>
      <c r="B107" s="19"/>
      <c r="C107" s="19"/>
      <c r="D107" s="20"/>
      <c r="E107" s="54"/>
      <c r="F107" s="158"/>
      <c r="G107" s="16">
        <f t="shared" si="15"/>
        <v>0</v>
      </c>
      <c r="H107" s="11">
        <f t="shared" si="14"/>
        <v>0</v>
      </c>
      <c r="I107" s="12">
        <f>G107/$I$12</f>
        <v>0</v>
      </c>
      <c r="J107" s="2"/>
      <c r="K107" s="2"/>
      <c r="L107" s="2"/>
      <c r="M107" s="2"/>
      <c r="N107" s="2"/>
      <c r="O107" s="2"/>
      <c r="P107" s="2"/>
      <c r="Q107" s="2"/>
      <c r="R107" s="2"/>
      <c r="S107" s="2"/>
      <c r="T107" s="2"/>
      <c r="U107" s="2"/>
      <c r="V107" s="2"/>
      <c r="W107" s="2"/>
      <c r="X107" s="2"/>
      <c r="Y107" s="2"/>
      <c r="Z107" s="2"/>
    </row>
    <row r="108" spans="1:26" ht="18.75" customHeight="1" x14ac:dyDescent="0.3">
      <c r="B108" s="19"/>
      <c r="C108" s="19"/>
      <c r="D108" s="20"/>
      <c r="E108" s="54"/>
      <c r="F108" s="158"/>
      <c r="G108" s="16">
        <f t="shared" si="15"/>
        <v>0</v>
      </c>
      <c r="H108" s="11">
        <f t="shared" si="14"/>
        <v>0</v>
      </c>
      <c r="I108" s="12">
        <f t="shared" ref="I108:I112" si="16">G108/$I$12</f>
        <v>0</v>
      </c>
      <c r="J108" s="2"/>
      <c r="K108" s="2"/>
      <c r="L108" s="2"/>
      <c r="M108" s="2"/>
      <c r="N108" s="2"/>
      <c r="O108" s="2"/>
      <c r="P108" s="2"/>
      <c r="Q108" s="2"/>
      <c r="R108" s="2"/>
      <c r="S108" s="2"/>
      <c r="T108" s="2"/>
      <c r="U108" s="2"/>
      <c r="V108" s="2"/>
      <c r="W108" s="2"/>
      <c r="X108" s="2"/>
      <c r="Y108" s="2"/>
      <c r="Z108" s="2"/>
    </row>
    <row r="109" spans="1:26" ht="18.75" customHeight="1" x14ac:dyDescent="0.3">
      <c r="A109" s="150"/>
      <c r="B109" s="151"/>
      <c r="C109" s="151"/>
      <c r="D109" s="152"/>
      <c r="E109" s="54"/>
      <c r="F109" s="158"/>
      <c r="G109" s="16">
        <f t="shared" si="15"/>
        <v>0</v>
      </c>
      <c r="H109" s="11">
        <f t="shared" si="14"/>
        <v>0</v>
      </c>
      <c r="I109" s="12">
        <f t="shared" si="16"/>
        <v>0</v>
      </c>
      <c r="J109" s="2"/>
      <c r="K109" s="2"/>
      <c r="L109" s="2"/>
      <c r="M109" s="2"/>
      <c r="N109" s="2"/>
      <c r="O109" s="2"/>
      <c r="P109" s="2"/>
      <c r="Q109" s="2"/>
      <c r="R109" s="2"/>
      <c r="S109" s="2"/>
      <c r="T109" s="2"/>
      <c r="U109" s="2"/>
      <c r="V109" s="2"/>
      <c r="W109" s="2"/>
      <c r="X109" s="2"/>
      <c r="Y109" s="2"/>
      <c r="Z109" s="2"/>
    </row>
    <row r="110" spans="1:26" ht="18.75" customHeight="1" x14ac:dyDescent="0.3">
      <c r="A110" s="150"/>
      <c r="B110" s="151"/>
      <c r="C110" s="151"/>
      <c r="D110" s="152"/>
      <c r="E110" s="54"/>
      <c r="F110" s="158"/>
      <c r="G110" s="16">
        <f t="shared" si="15"/>
        <v>0</v>
      </c>
      <c r="H110" s="11">
        <f t="shared" si="14"/>
        <v>0</v>
      </c>
      <c r="I110" s="12">
        <f t="shared" si="16"/>
        <v>0</v>
      </c>
      <c r="J110" s="2"/>
      <c r="K110" s="2"/>
      <c r="L110" s="2"/>
      <c r="M110" s="2"/>
      <c r="N110" s="2"/>
      <c r="O110" s="2"/>
      <c r="P110" s="2"/>
      <c r="Q110" s="2"/>
      <c r="R110" s="2"/>
      <c r="S110" s="2"/>
      <c r="T110" s="2"/>
      <c r="U110" s="2"/>
      <c r="V110" s="2"/>
      <c r="W110" s="2"/>
      <c r="X110" s="2"/>
      <c r="Y110" s="2"/>
      <c r="Z110" s="2"/>
    </row>
    <row r="111" spans="1:26" ht="18.75" customHeight="1" x14ac:dyDescent="0.3">
      <c r="A111" s="150"/>
      <c r="B111" s="151"/>
      <c r="C111" s="151"/>
      <c r="D111" s="152"/>
      <c r="E111" s="54"/>
      <c r="F111" s="158"/>
      <c r="G111" s="16">
        <f t="shared" si="15"/>
        <v>0</v>
      </c>
      <c r="H111" s="11">
        <f t="shared" si="14"/>
        <v>0</v>
      </c>
      <c r="I111" s="12">
        <f t="shared" si="16"/>
        <v>0</v>
      </c>
      <c r="J111" s="2"/>
      <c r="K111" s="2"/>
      <c r="L111" s="2"/>
      <c r="M111" s="2"/>
      <c r="N111" s="2"/>
      <c r="O111" s="2"/>
      <c r="P111" s="2"/>
      <c r="Q111" s="2"/>
      <c r="R111" s="2"/>
      <c r="S111" s="2"/>
      <c r="T111" s="2"/>
      <c r="U111" s="2"/>
      <c r="V111" s="2"/>
      <c r="W111" s="2"/>
      <c r="X111" s="2"/>
      <c r="Y111" s="2"/>
      <c r="Z111" s="2"/>
    </row>
    <row r="112" spans="1:26" ht="18.75" customHeight="1" x14ac:dyDescent="0.3">
      <c r="A112" s="153"/>
      <c r="B112" s="154"/>
      <c r="C112" s="154"/>
      <c r="D112" s="155"/>
      <c r="E112" s="64"/>
      <c r="F112" s="159"/>
      <c r="G112" s="16">
        <f t="shared" si="15"/>
        <v>0</v>
      </c>
      <c r="H112" s="11">
        <f t="shared" si="14"/>
        <v>0</v>
      </c>
      <c r="I112" s="12">
        <f t="shared" si="16"/>
        <v>0</v>
      </c>
      <c r="J112" s="2"/>
      <c r="K112" s="2"/>
      <c r="L112" s="2"/>
      <c r="M112" s="2"/>
      <c r="N112" s="2"/>
      <c r="O112" s="2"/>
      <c r="P112" s="2"/>
      <c r="Q112" s="2"/>
      <c r="R112" s="2"/>
      <c r="S112" s="2"/>
      <c r="T112" s="2"/>
      <c r="U112" s="2"/>
      <c r="V112" s="2"/>
      <c r="W112" s="2"/>
      <c r="X112" s="2"/>
      <c r="Y112" s="2"/>
      <c r="Z112" s="2"/>
    </row>
    <row r="113" spans="1:26" ht="18.75" customHeight="1" x14ac:dyDescent="0.3">
      <c r="A113" s="145" t="s">
        <v>164</v>
      </c>
      <c r="B113" s="101"/>
      <c r="C113" s="101"/>
      <c r="D113" s="101"/>
      <c r="E113" s="101"/>
      <c r="F113" s="121"/>
      <c r="G113" s="13">
        <f>SUM(G96:G112)</f>
        <v>6484.5</v>
      </c>
      <c r="H113" s="14">
        <f>SUM(H96:H112)</f>
        <v>72.05</v>
      </c>
      <c r="I113" s="15">
        <f>SUM(I96:I112)</f>
        <v>14.906896551724138</v>
      </c>
      <c r="J113" s="2"/>
      <c r="K113" s="2"/>
      <c r="L113" s="2"/>
      <c r="M113" s="2"/>
      <c r="N113" s="2"/>
      <c r="O113" s="2"/>
      <c r="P113" s="2"/>
      <c r="Q113" s="2"/>
      <c r="R113" s="2"/>
      <c r="S113" s="2"/>
      <c r="T113" s="2"/>
      <c r="U113" s="2"/>
      <c r="V113" s="2"/>
      <c r="W113" s="2"/>
      <c r="X113" s="2"/>
      <c r="Y113" s="2"/>
      <c r="Z113" s="2"/>
    </row>
    <row r="114" spans="1:26" ht="18.75" customHeight="1" x14ac:dyDescent="0.3">
      <c r="A114" s="88"/>
      <c r="B114" s="2"/>
      <c r="C114" s="2"/>
      <c r="D114" s="2"/>
      <c r="E114" s="2"/>
      <c r="F114" s="2"/>
      <c r="G114" s="32"/>
      <c r="H114" s="32"/>
      <c r="I114" s="32"/>
      <c r="J114" s="2"/>
      <c r="K114" s="2"/>
      <c r="L114" s="2"/>
      <c r="M114" s="2"/>
      <c r="N114" s="2"/>
      <c r="O114" s="2"/>
      <c r="P114" s="2"/>
      <c r="Q114" s="2"/>
      <c r="R114" s="2"/>
      <c r="S114" s="2"/>
      <c r="T114" s="2"/>
      <c r="U114" s="2"/>
      <c r="V114" s="2"/>
      <c r="W114" s="2"/>
      <c r="X114" s="2"/>
      <c r="Y114" s="2"/>
      <c r="Z114" s="2"/>
    </row>
    <row r="115" spans="1:26" ht="18.75" customHeight="1" x14ac:dyDescent="0.3">
      <c r="A115" s="127" t="s">
        <v>165</v>
      </c>
      <c r="B115" s="176"/>
      <c r="C115" s="176"/>
      <c r="D115" s="176"/>
      <c r="E115" s="176"/>
      <c r="F115" s="176"/>
      <c r="G115" s="177"/>
      <c r="H115" s="177"/>
      <c r="I115" s="177"/>
      <c r="J115" s="2"/>
      <c r="K115" s="2"/>
      <c r="L115" s="2"/>
      <c r="M115" s="2"/>
      <c r="N115" s="2"/>
      <c r="O115" s="2"/>
      <c r="P115" s="2"/>
      <c r="Q115" s="2"/>
      <c r="R115" s="2"/>
      <c r="S115" s="2"/>
      <c r="T115" s="2"/>
      <c r="U115" s="2"/>
      <c r="V115" s="2"/>
      <c r="W115" s="2"/>
      <c r="X115" s="2"/>
      <c r="Y115" s="2"/>
      <c r="Z115" s="2"/>
    </row>
    <row r="116" spans="1:26" ht="18.75" customHeight="1" x14ac:dyDescent="0.3">
      <c r="A116" s="88" t="s">
        <v>138</v>
      </c>
      <c r="B116" s="2"/>
      <c r="C116" s="2"/>
      <c r="D116" s="2"/>
      <c r="E116" s="2"/>
      <c r="F116" s="2"/>
      <c r="G116" s="44">
        <f>G36+G50+G59+G78+G113</f>
        <v>49444.5</v>
      </c>
      <c r="H116" s="45">
        <f>H36+H50+H59+H828+H113</f>
        <v>513.82777777777778</v>
      </c>
      <c r="I116" s="178">
        <f>I36+I50+I59+I78+I113</f>
        <v>113.66551724137932</v>
      </c>
      <c r="J116" s="2"/>
      <c r="K116" s="2"/>
      <c r="L116" s="2"/>
      <c r="M116" s="2"/>
      <c r="N116" s="2"/>
      <c r="O116" s="2"/>
      <c r="P116" s="2"/>
      <c r="Q116" s="2"/>
      <c r="R116" s="2"/>
      <c r="S116" s="2"/>
      <c r="T116" s="2"/>
      <c r="U116" s="2"/>
      <c r="V116" s="2"/>
      <c r="W116" s="2"/>
      <c r="X116" s="2"/>
      <c r="Y116" s="2"/>
      <c r="Z116" s="2"/>
    </row>
    <row r="117" spans="1:26" ht="18.75" customHeight="1" x14ac:dyDescent="0.3">
      <c r="A117" s="88" t="s">
        <v>185</v>
      </c>
      <c r="B117" s="2"/>
      <c r="C117" s="2"/>
      <c r="D117" s="2"/>
      <c r="E117" s="56" t="s">
        <v>154</v>
      </c>
      <c r="F117" s="197">
        <v>0.02</v>
      </c>
      <c r="G117" s="44">
        <f>(G116*$F$117)*0.5</f>
        <v>494.44499999999999</v>
      </c>
      <c r="H117" s="179">
        <f>(H116*$F$117)*0.5</f>
        <v>5.1382777777777777</v>
      </c>
      <c r="I117" s="180">
        <f>(I116*$F$117)*0.5</f>
        <v>1.1366551724137932</v>
      </c>
      <c r="J117" s="2"/>
      <c r="K117" s="2"/>
      <c r="L117" s="2"/>
      <c r="M117" s="2"/>
      <c r="N117" s="2"/>
      <c r="O117" s="2"/>
      <c r="P117" s="2"/>
      <c r="Q117" s="2"/>
      <c r="R117" s="2"/>
      <c r="S117" s="2"/>
      <c r="T117" s="2"/>
      <c r="U117" s="2"/>
      <c r="V117" s="2"/>
      <c r="W117" s="2"/>
      <c r="X117" s="2"/>
      <c r="Y117" s="2"/>
      <c r="Z117" s="2"/>
    </row>
    <row r="118" spans="1:26" ht="18.75" customHeight="1" x14ac:dyDescent="0.3">
      <c r="A118" s="88"/>
      <c r="B118" s="194" t="s">
        <v>186</v>
      </c>
      <c r="C118" s="190"/>
      <c r="D118" s="190"/>
      <c r="E118" s="190"/>
      <c r="F118" s="190"/>
      <c r="G118" s="193"/>
      <c r="H118" s="193"/>
      <c r="I118" s="32"/>
      <c r="J118" s="2"/>
      <c r="K118" s="2"/>
      <c r="L118" s="2"/>
      <c r="M118" s="2"/>
      <c r="N118" s="2"/>
      <c r="O118" s="2"/>
      <c r="P118" s="2"/>
      <c r="Q118" s="2"/>
      <c r="R118" s="2"/>
      <c r="S118" s="2"/>
      <c r="T118" s="2"/>
      <c r="U118" s="2"/>
      <c r="V118" s="2"/>
      <c r="W118" s="2"/>
      <c r="X118" s="2"/>
      <c r="Y118" s="2"/>
      <c r="Z118" s="2"/>
    </row>
    <row r="119" spans="1:26" ht="18.75" customHeight="1" x14ac:dyDescent="0.3">
      <c r="A119" s="127" t="s">
        <v>155</v>
      </c>
      <c r="B119" s="126"/>
      <c r="C119" s="126"/>
      <c r="D119" s="126"/>
      <c r="E119" s="126"/>
      <c r="F119" s="126"/>
      <c r="G119" s="165"/>
      <c r="H119" s="166"/>
      <c r="I119" s="167"/>
      <c r="J119" s="2"/>
      <c r="K119" s="2"/>
      <c r="L119" s="2"/>
      <c r="M119" s="2"/>
      <c r="N119" s="2"/>
      <c r="O119" s="2"/>
      <c r="P119" s="2"/>
      <c r="Q119" s="2"/>
      <c r="R119" s="2"/>
      <c r="S119" s="2"/>
      <c r="T119" s="2"/>
      <c r="U119" s="2"/>
      <c r="V119" s="2"/>
      <c r="W119" s="2"/>
      <c r="X119" s="2"/>
      <c r="Y119" s="2"/>
      <c r="Z119" s="2"/>
    </row>
    <row r="120" spans="1:26" ht="18.75" customHeight="1" x14ac:dyDescent="0.3">
      <c r="A120" s="88"/>
      <c r="B120" s="2"/>
      <c r="C120" s="2"/>
      <c r="D120" s="2"/>
      <c r="E120" s="2"/>
      <c r="F120" s="2"/>
      <c r="G120" s="32"/>
      <c r="H120" s="32"/>
      <c r="I120" s="32"/>
      <c r="J120" s="2"/>
      <c r="K120" s="2"/>
      <c r="L120" s="2"/>
      <c r="M120" s="2"/>
      <c r="N120" s="2"/>
      <c r="O120" s="2"/>
      <c r="P120" s="2"/>
      <c r="Q120" s="2"/>
      <c r="R120" s="2"/>
      <c r="S120" s="2"/>
      <c r="T120" s="2"/>
      <c r="U120" s="2"/>
      <c r="V120" s="2"/>
      <c r="W120" s="2"/>
      <c r="X120" s="2"/>
      <c r="Y120" s="2"/>
      <c r="Z120" s="2"/>
    </row>
    <row r="121" spans="1:26" ht="18.75" customHeight="1" x14ac:dyDescent="0.3">
      <c r="A121" s="127" t="s">
        <v>178</v>
      </c>
      <c r="B121" s="126"/>
      <c r="C121" s="126"/>
      <c r="D121" s="126"/>
      <c r="E121" s="126"/>
      <c r="F121" s="126"/>
      <c r="G121" s="135"/>
      <c r="H121" s="135"/>
      <c r="I121" s="135"/>
      <c r="J121" s="2"/>
      <c r="K121" s="2"/>
      <c r="L121" s="2"/>
      <c r="M121" s="2"/>
      <c r="N121" s="2"/>
      <c r="O121" s="2"/>
      <c r="P121" s="2"/>
      <c r="Q121" s="2"/>
      <c r="R121" s="2"/>
      <c r="S121" s="2"/>
      <c r="T121" s="2"/>
      <c r="U121" s="2"/>
      <c r="V121" s="2"/>
      <c r="W121" s="2"/>
      <c r="X121" s="2"/>
      <c r="Y121" s="2"/>
      <c r="Z121" s="2"/>
    </row>
    <row r="122" spans="1:26" ht="18.75" customHeight="1" x14ac:dyDescent="0.3">
      <c r="A122" s="190" t="s">
        <v>200</v>
      </c>
      <c r="B122" s="72"/>
      <c r="C122" s="190"/>
      <c r="D122" s="191"/>
      <c r="E122" s="192"/>
      <c r="F122" s="190"/>
      <c r="G122" s="32"/>
      <c r="H122" s="32"/>
      <c r="I122" s="32"/>
      <c r="J122" s="2"/>
      <c r="K122" s="2"/>
      <c r="L122" s="2"/>
      <c r="M122" s="2"/>
      <c r="N122" s="2"/>
      <c r="O122" s="2"/>
      <c r="P122" s="2"/>
      <c r="Q122" s="2"/>
      <c r="R122" s="2"/>
      <c r="S122" s="2"/>
      <c r="T122" s="2"/>
      <c r="U122" s="2"/>
      <c r="V122" s="2"/>
      <c r="W122" s="2"/>
      <c r="X122" s="2"/>
      <c r="Y122" s="2"/>
      <c r="Z122" s="2"/>
    </row>
    <row r="123" spans="1:26" s="43" customFormat="1" ht="36" customHeight="1" x14ac:dyDescent="0.3">
      <c r="A123" s="160"/>
      <c r="B123" s="8"/>
      <c r="C123" s="8"/>
      <c r="D123" s="8"/>
      <c r="E123" s="185" t="s">
        <v>148</v>
      </c>
      <c r="F123" s="185" t="s">
        <v>149</v>
      </c>
      <c r="G123" s="186" t="s">
        <v>156</v>
      </c>
      <c r="H123" s="186" t="s">
        <v>9</v>
      </c>
      <c r="I123" s="186" t="s">
        <v>10</v>
      </c>
      <c r="J123" s="8"/>
      <c r="K123" s="8"/>
      <c r="L123" s="8"/>
      <c r="M123" s="8"/>
      <c r="N123" s="8"/>
      <c r="O123" s="8"/>
      <c r="P123" s="8"/>
      <c r="Q123" s="8"/>
      <c r="R123" s="8"/>
      <c r="S123" s="8"/>
      <c r="T123" s="8"/>
      <c r="U123" s="8"/>
      <c r="V123" s="8"/>
      <c r="W123" s="8"/>
      <c r="X123" s="8"/>
      <c r="Y123" s="8"/>
      <c r="Z123" s="8"/>
    </row>
    <row r="124" spans="1:26" ht="18.75" customHeight="1" x14ac:dyDescent="0.3">
      <c r="A124" s="88" t="s">
        <v>181</v>
      </c>
      <c r="B124" s="2"/>
      <c r="C124" s="2"/>
      <c r="D124" s="2"/>
      <c r="E124" s="198">
        <v>3</v>
      </c>
      <c r="F124" s="199">
        <v>1050</v>
      </c>
      <c r="G124" s="184">
        <f>E124*F124</f>
        <v>3150</v>
      </c>
      <c r="H124" s="32"/>
      <c r="I124" s="32"/>
      <c r="J124" s="2"/>
      <c r="K124" s="2"/>
      <c r="L124" s="2"/>
      <c r="M124" s="2"/>
      <c r="N124" s="2"/>
      <c r="O124" s="2"/>
      <c r="P124" s="2"/>
      <c r="Q124" s="2"/>
      <c r="R124" s="2"/>
      <c r="S124" s="2"/>
      <c r="T124" s="2"/>
      <c r="U124" s="2"/>
      <c r="V124" s="2"/>
      <c r="W124" s="2"/>
      <c r="X124" s="2"/>
      <c r="Y124" s="2"/>
      <c r="Z124" s="2"/>
    </row>
    <row r="125" spans="1:26" ht="18.75" customHeight="1" x14ac:dyDescent="0.3">
      <c r="A125" s="88" t="s">
        <v>180</v>
      </c>
      <c r="B125" s="2"/>
      <c r="C125" s="2"/>
      <c r="D125" s="2"/>
      <c r="E125" s="62">
        <v>36</v>
      </c>
      <c r="F125" s="200">
        <v>1200</v>
      </c>
      <c r="G125" s="111">
        <f t="shared" ref="G125:G127" si="17">E125*F125</f>
        <v>43200</v>
      </c>
      <c r="H125" s="32"/>
      <c r="I125" s="32"/>
      <c r="J125" s="2"/>
      <c r="K125" s="2"/>
      <c r="L125" s="2"/>
      <c r="M125" s="2"/>
      <c r="N125" s="2"/>
      <c r="O125" s="2"/>
      <c r="P125" s="2"/>
      <c r="Q125" s="2"/>
      <c r="R125" s="2"/>
      <c r="S125" s="2"/>
      <c r="T125" s="2"/>
      <c r="U125" s="2"/>
      <c r="V125" s="2"/>
      <c r="W125" s="2"/>
      <c r="X125" s="2"/>
      <c r="Y125" s="2"/>
      <c r="Z125" s="2"/>
    </row>
    <row r="126" spans="1:26" ht="18.75" customHeight="1" x14ac:dyDescent="0.3">
      <c r="A126" s="88" t="s">
        <v>150</v>
      </c>
      <c r="B126" s="2"/>
      <c r="C126" s="2"/>
      <c r="D126" s="2"/>
      <c r="E126" s="62">
        <v>36</v>
      </c>
      <c r="F126" s="200">
        <v>1000</v>
      </c>
      <c r="G126" s="111">
        <f t="shared" si="17"/>
        <v>36000</v>
      </c>
      <c r="H126" s="32"/>
      <c r="I126" s="32"/>
      <c r="J126" s="2"/>
      <c r="K126" s="2"/>
      <c r="L126" s="2"/>
      <c r="M126" s="2"/>
      <c r="N126" s="2"/>
      <c r="O126" s="2"/>
      <c r="P126" s="2"/>
      <c r="Q126" s="2"/>
      <c r="R126" s="2"/>
      <c r="S126" s="2"/>
      <c r="T126" s="2"/>
      <c r="U126" s="2"/>
      <c r="V126" s="2"/>
      <c r="W126" s="2"/>
      <c r="X126" s="2"/>
      <c r="Y126" s="2"/>
      <c r="Z126" s="2"/>
    </row>
    <row r="127" spans="1:26" ht="18.75" customHeight="1" x14ac:dyDescent="0.3">
      <c r="A127" s="88" t="s">
        <v>177</v>
      </c>
      <c r="B127" s="2"/>
      <c r="C127" s="2"/>
      <c r="D127" s="2"/>
      <c r="E127" s="62">
        <v>9</v>
      </c>
      <c r="F127" s="200">
        <v>700</v>
      </c>
      <c r="G127" s="111">
        <f t="shared" si="17"/>
        <v>6300</v>
      </c>
      <c r="H127" s="32"/>
      <c r="I127" s="32"/>
      <c r="J127" s="2"/>
      <c r="K127" s="2"/>
      <c r="L127" s="2"/>
      <c r="M127" s="2"/>
      <c r="N127" s="2"/>
      <c r="O127" s="2"/>
      <c r="P127" s="2"/>
      <c r="Q127" s="2"/>
      <c r="R127" s="2"/>
      <c r="S127" s="2"/>
      <c r="T127" s="2"/>
      <c r="U127" s="2"/>
      <c r="V127" s="2"/>
      <c r="W127" s="2"/>
      <c r="X127" s="2"/>
      <c r="Y127" s="2"/>
      <c r="Z127" s="2"/>
    </row>
    <row r="128" spans="1:26" ht="18.75" customHeight="1" x14ac:dyDescent="0.3">
      <c r="A128" s="31" t="s">
        <v>152</v>
      </c>
      <c r="B128" s="2"/>
      <c r="C128" s="2"/>
      <c r="D128" s="2"/>
      <c r="E128" s="162">
        <f>SUM(E124:E127)</f>
        <v>84</v>
      </c>
      <c r="F128" s="58"/>
      <c r="G128" s="50">
        <f>SUM(G124:G127)</f>
        <v>88650</v>
      </c>
      <c r="H128" s="90"/>
      <c r="I128" s="161"/>
      <c r="J128" s="2"/>
      <c r="K128" s="2"/>
      <c r="L128" s="2"/>
      <c r="M128" s="2"/>
      <c r="N128" s="2"/>
      <c r="O128" s="2"/>
      <c r="P128" s="2"/>
      <c r="Q128" s="2"/>
      <c r="R128" s="2"/>
      <c r="S128" s="2"/>
      <c r="T128" s="2"/>
      <c r="U128" s="2"/>
      <c r="V128" s="2"/>
      <c r="W128" s="2"/>
      <c r="X128" s="2"/>
      <c r="Y128" s="2"/>
      <c r="Z128" s="2"/>
    </row>
    <row r="129" spans="1:26" ht="18.75" customHeight="1" x14ac:dyDescent="0.3">
      <c r="A129" s="31" t="s">
        <v>151</v>
      </c>
      <c r="B129" s="2"/>
      <c r="C129" s="2"/>
      <c r="D129" s="2"/>
      <c r="E129" s="2"/>
      <c r="F129" s="50">
        <f>G128/E128</f>
        <v>1055.3571428571429</v>
      </c>
      <c r="G129" s="90"/>
      <c r="H129" s="90"/>
      <c r="I129" s="161"/>
      <c r="J129" s="2"/>
      <c r="K129" s="2"/>
      <c r="L129" s="2"/>
      <c r="M129" s="2"/>
      <c r="N129" s="2"/>
      <c r="O129" s="2"/>
      <c r="P129" s="2"/>
      <c r="Q129" s="2"/>
      <c r="R129" s="2"/>
      <c r="S129" s="2"/>
      <c r="T129" s="2"/>
      <c r="U129" s="2"/>
      <c r="V129" s="2"/>
      <c r="W129" s="2"/>
      <c r="X129" s="2"/>
      <c r="Y129" s="2"/>
      <c r="Z129" s="2"/>
    </row>
    <row r="130" spans="1:26" ht="18.75" customHeight="1" x14ac:dyDescent="0.3">
      <c r="A130" s="88" t="s">
        <v>161</v>
      </c>
      <c r="B130" s="2"/>
      <c r="C130" s="2"/>
      <c r="D130" s="31" t="s">
        <v>154</v>
      </c>
      <c r="E130" s="197">
        <v>0.01</v>
      </c>
      <c r="F130" s="2"/>
      <c r="G130" s="44">
        <f>G128*E130</f>
        <v>886.5</v>
      </c>
      <c r="H130" s="45">
        <f>G130/$H$8</f>
        <v>9.85</v>
      </c>
      <c r="I130" s="46">
        <f>G130/($I$12)</f>
        <v>2.0379310344827588</v>
      </c>
      <c r="J130" s="2"/>
      <c r="K130" s="2"/>
      <c r="L130" s="2"/>
      <c r="M130" s="2"/>
      <c r="N130" s="2"/>
      <c r="O130" s="2"/>
      <c r="P130" s="2"/>
      <c r="Q130" s="2"/>
      <c r="R130" s="2"/>
      <c r="S130" s="2"/>
      <c r="T130" s="2"/>
      <c r="U130" s="2"/>
      <c r="V130" s="2"/>
      <c r="W130" s="2"/>
      <c r="X130" s="2"/>
      <c r="Y130" s="2"/>
      <c r="Z130" s="2"/>
    </row>
    <row r="131" spans="1:26" ht="18.75" customHeight="1" x14ac:dyDescent="0.3">
      <c r="A131" s="88"/>
      <c r="I131" s="32"/>
      <c r="J131" s="2"/>
      <c r="K131" s="2"/>
      <c r="L131" s="2"/>
      <c r="M131" s="2"/>
      <c r="N131" s="2"/>
      <c r="O131" s="2"/>
      <c r="P131" s="2"/>
      <c r="Q131" s="2"/>
      <c r="R131" s="2"/>
      <c r="S131" s="2"/>
      <c r="T131" s="2"/>
      <c r="U131" s="2"/>
      <c r="V131" s="2"/>
      <c r="W131" s="2"/>
      <c r="X131" s="2"/>
      <c r="Y131" s="2"/>
      <c r="Z131" s="2"/>
    </row>
    <row r="132" spans="1:26" ht="18.75" customHeight="1" x14ac:dyDescent="0.3">
      <c r="A132" s="127" t="s">
        <v>179</v>
      </c>
      <c r="B132" s="126"/>
      <c r="C132" s="126"/>
      <c r="D132" s="126"/>
      <c r="E132" s="126"/>
      <c r="F132" s="126"/>
      <c r="G132" s="126"/>
      <c r="H132" s="126"/>
      <c r="I132" s="126"/>
      <c r="J132" s="2"/>
      <c r="K132" s="2"/>
      <c r="L132" s="2"/>
      <c r="M132" s="2"/>
      <c r="N132" s="2"/>
      <c r="O132" s="2"/>
      <c r="P132" s="2"/>
      <c r="Q132" s="2"/>
      <c r="R132" s="2"/>
      <c r="S132" s="2"/>
      <c r="T132" s="2"/>
      <c r="U132" s="2"/>
      <c r="V132" s="2"/>
      <c r="W132" s="2"/>
      <c r="X132" s="2"/>
      <c r="Y132" s="2"/>
      <c r="Z132" s="2"/>
    </row>
    <row r="133" spans="1:26" ht="56.25" customHeight="1" x14ac:dyDescent="0.3">
      <c r="A133" s="26" t="s">
        <v>114</v>
      </c>
      <c r="B133" s="187" t="s">
        <v>172</v>
      </c>
      <c r="C133" s="30" t="s">
        <v>60</v>
      </c>
      <c r="D133" s="10" t="s">
        <v>61</v>
      </c>
      <c r="E133" s="10" t="s">
        <v>62</v>
      </c>
      <c r="F133" s="157" t="s">
        <v>144</v>
      </c>
      <c r="G133" s="10" t="s">
        <v>63</v>
      </c>
      <c r="H133" s="5" t="s">
        <v>9</v>
      </c>
      <c r="I133" s="10" t="s">
        <v>10</v>
      </c>
      <c r="J133" s="8"/>
      <c r="K133" s="8"/>
      <c r="L133" s="8"/>
      <c r="M133" s="8"/>
      <c r="N133" s="8"/>
      <c r="O133" s="8"/>
      <c r="P133" s="8"/>
      <c r="Q133" s="8"/>
      <c r="R133" s="8"/>
      <c r="S133" s="8"/>
      <c r="T133" s="8"/>
      <c r="U133" s="8"/>
      <c r="V133" s="8"/>
      <c r="W133" s="8"/>
      <c r="X133" s="8"/>
      <c r="Y133" s="8"/>
      <c r="Z133" s="8"/>
    </row>
    <row r="134" spans="1:26" ht="18.75" customHeight="1" x14ac:dyDescent="0.35">
      <c r="A134" s="61" t="s">
        <v>64</v>
      </c>
      <c r="B134" s="205" t="s">
        <v>115</v>
      </c>
      <c r="C134" s="206">
        <v>2014</v>
      </c>
      <c r="D134" s="54">
        <v>3600</v>
      </c>
      <c r="E134" s="53">
        <v>3</v>
      </c>
      <c r="F134" s="207">
        <v>1000</v>
      </c>
      <c r="G134" s="16">
        <f>IFERROR((D134-F134)/E134,"")</f>
        <v>866.66666666666663</v>
      </c>
      <c r="H134" s="11">
        <f>IFERROR(G134/$H$8,"")</f>
        <v>9.6296296296296298</v>
      </c>
      <c r="I134" s="12">
        <f>IFERROR(G134/$I$12,"")</f>
        <v>1.9923371647509578</v>
      </c>
      <c r="J134" s="2"/>
      <c r="K134" s="2"/>
      <c r="L134" s="2"/>
      <c r="M134" s="2"/>
      <c r="N134" s="2"/>
      <c r="O134" s="2"/>
      <c r="P134" s="2"/>
      <c r="Q134" s="2"/>
      <c r="R134" s="2"/>
      <c r="S134" s="2"/>
      <c r="T134" s="2"/>
      <c r="U134" s="2"/>
      <c r="V134" s="2"/>
      <c r="W134" s="2"/>
      <c r="X134" s="2"/>
      <c r="Y134" s="2"/>
      <c r="Z134" s="2"/>
    </row>
    <row r="135" spans="1:26" ht="18.75" customHeight="1" x14ac:dyDescent="0.35">
      <c r="A135" s="61"/>
      <c r="B135" s="205"/>
      <c r="C135" s="206"/>
      <c r="D135" s="54"/>
      <c r="E135" s="53"/>
      <c r="F135" s="207"/>
      <c r="G135" s="16" t="str">
        <f t="shared" ref="G135:G146" si="18">IFERROR((D135-F135)/E135,"")</f>
        <v/>
      </c>
      <c r="H135" s="11" t="str">
        <f t="shared" ref="H135:H146" si="19">IFERROR(G135/$H$8,"")</f>
        <v/>
      </c>
      <c r="I135" s="12" t="str">
        <f t="shared" ref="I135:I146" si="20">IFERROR(G135/$I$12,"")</f>
        <v/>
      </c>
      <c r="J135" s="2"/>
      <c r="K135" s="2"/>
      <c r="L135" s="2"/>
      <c r="M135" s="2"/>
      <c r="N135" s="2"/>
      <c r="O135" s="2"/>
      <c r="P135" s="2"/>
      <c r="Q135" s="2"/>
      <c r="R135" s="2"/>
      <c r="S135" s="2"/>
      <c r="T135" s="2"/>
      <c r="U135" s="2"/>
      <c r="V135" s="2"/>
      <c r="W135" s="2"/>
      <c r="X135" s="2"/>
      <c r="Y135" s="2"/>
      <c r="Z135" s="2"/>
    </row>
    <row r="136" spans="1:26" ht="18.75" customHeight="1" x14ac:dyDescent="0.35">
      <c r="A136" s="61" t="s">
        <v>113</v>
      </c>
      <c r="B136" s="205" t="s">
        <v>115</v>
      </c>
      <c r="C136" s="206">
        <v>2015</v>
      </c>
      <c r="D136" s="54">
        <v>3300</v>
      </c>
      <c r="E136" s="53">
        <v>3</v>
      </c>
      <c r="F136" s="207">
        <v>1000</v>
      </c>
      <c r="G136" s="16">
        <f t="shared" si="18"/>
        <v>766.66666666666663</v>
      </c>
      <c r="H136" s="11">
        <f t="shared" si="19"/>
        <v>8.5185185185185173</v>
      </c>
      <c r="I136" s="12">
        <f t="shared" si="20"/>
        <v>1.7624521072796935</v>
      </c>
      <c r="J136" s="2"/>
      <c r="K136" s="2"/>
      <c r="L136" s="2"/>
      <c r="M136" s="2"/>
      <c r="N136" s="2"/>
      <c r="O136" s="2"/>
      <c r="P136" s="2"/>
      <c r="Q136" s="2"/>
      <c r="R136" s="2"/>
      <c r="S136" s="2"/>
      <c r="T136" s="2"/>
      <c r="U136" s="2"/>
      <c r="V136" s="2"/>
      <c r="W136" s="2"/>
      <c r="X136" s="2"/>
      <c r="Y136" s="2"/>
      <c r="Z136" s="2"/>
    </row>
    <row r="137" spans="1:26" ht="18.75" customHeight="1" x14ac:dyDescent="0.35">
      <c r="A137" s="61" t="s">
        <v>65</v>
      </c>
      <c r="B137" s="205" t="s">
        <v>115</v>
      </c>
      <c r="C137" s="206">
        <v>2016</v>
      </c>
      <c r="D137" s="54">
        <v>2700</v>
      </c>
      <c r="E137" s="53">
        <v>3</v>
      </c>
      <c r="F137" s="207">
        <v>1000</v>
      </c>
      <c r="G137" s="16">
        <f t="shared" si="18"/>
        <v>566.66666666666663</v>
      </c>
      <c r="H137" s="11">
        <f t="shared" si="19"/>
        <v>6.2962962962962958</v>
      </c>
      <c r="I137" s="12">
        <f t="shared" si="20"/>
        <v>1.3026819923371646</v>
      </c>
      <c r="J137" s="2"/>
      <c r="K137" s="2"/>
      <c r="L137" s="2"/>
      <c r="M137" s="2"/>
      <c r="N137" s="2"/>
      <c r="O137" s="2"/>
      <c r="P137" s="2"/>
      <c r="Q137" s="2"/>
      <c r="R137" s="2"/>
      <c r="S137" s="2"/>
      <c r="T137" s="2"/>
      <c r="U137" s="2"/>
      <c r="V137" s="2"/>
      <c r="W137" s="2"/>
      <c r="X137" s="2"/>
      <c r="Y137" s="2"/>
      <c r="Z137" s="2"/>
    </row>
    <row r="138" spans="1:26" ht="18.75" customHeight="1" x14ac:dyDescent="0.35">
      <c r="A138" s="61"/>
      <c r="B138" s="205"/>
      <c r="C138" s="206"/>
      <c r="D138" s="54"/>
      <c r="E138" s="53"/>
      <c r="F138" s="207"/>
      <c r="G138" s="16" t="str">
        <f t="shared" si="18"/>
        <v/>
      </c>
      <c r="H138" s="11" t="str">
        <f t="shared" si="19"/>
        <v/>
      </c>
      <c r="I138" s="12" t="str">
        <f t="shared" si="20"/>
        <v/>
      </c>
      <c r="J138" s="2"/>
      <c r="K138" s="2"/>
      <c r="L138" s="2"/>
      <c r="M138" s="2"/>
      <c r="N138" s="2"/>
      <c r="O138" s="2"/>
      <c r="P138" s="2"/>
      <c r="Q138" s="2"/>
      <c r="R138" s="2"/>
      <c r="S138" s="2"/>
      <c r="T138" s="2"/>
      <c r="U138" s="2"/>
      <c r="V138" s="2"/>
      <c r="W138" s="2"/>
      <c r="X138" s="2"/>
      <c r="Y138" s="2"/>
      <c r="Z138" s="2"/>
    </row>
    <row r="139" spans="1:26" ht="18.75" customHeight="1" x14ac:dyDescent="0.35">
      <c r="A139" s="208" t="s">
        <v>116</v>
      </c>
      <c r="B139" s="205" t="s">
        <v>117</v>
      </c>
      <c r="C139" s="206">
        <v>2016</v>
      </c>
      <c r="D139" s="54">
        <v>7200</v>
      </c>
      <c r="E139" s="53">
        <v>6</v>
      </c>
      <c r="F139" s="207">
        <v>3600</v>
      </c>
      <c r="G139" s="16">
        <f t="shared" si="18"/>
        <v>600</v>
      </c>
      <c r="H139" s="11">
        <f t="shared" si="19"/>
        <v>6.666666666666667</v>
      </c>
      <c r="I139" s="12">
        <f t="shared" si="20"/>
        <v>1.3793103448275863</v>
      </c>
      <c r="J139" s="2"/>
      <c r="K139" s="2"/>
      <c r="L139" s="2"/>
      <c r="M139" s="2"/>
      <c r="N139" s="2"/>
      <c r="O139" s="2"/>
      <c r="P139" s="2"/>
      <c r="Q139" s="2"/>
      <c r="R139" s="2"/>
      <c r="S139" s="2"/>
      <c r="T139" s="2"/>
      <c r="U139" s="2"/>
      <c r="V139" s="2"/>
      <c r="W139" s="2"/>
      <c r="X139" s="2"/>
      <c r="Y139" s="2"/>
      <c r="Z139" s="2"/>
    </row>
    <row r="140" spans="1:26" ht="18.75" customHeight="1" x14ac:dyDescent="0.35">
      <c r="A140" s="208"/>
      <c r="B140" s="205"/>
      <c r="C140" s="206"/>
      <c r="D140" s="54"/>
      <c r="E140" s="53"/>
      <c r="F140" s="207"/>
      <c r="G140" s="16" t="str">
        <f t="shared" si="18"/>
        <v/>
      </c>
      <c r="H140" s="11" t="str">
        <f t="shared" si="19"/>
        <v/>
      </c>
      <c r="I140" s="12" t="str">
        <f t="shared" si="20"/>
        <v/>
      </c>
      <c r="J140" s="2"/>
      <c r="K140" s="2"/>
      <c r="L140" s="2"/>
      <c r="M140" s="2"/>
      <c r="N140" s="2"/>
      <c r="O140" s="2"/>
      <c r="P140" s="2"/>
      <c r="Q140" s="2"/>
      <c r="R140" s="2"/>
      <c r="S140" s="2"/>
      <c r="T140" s="2"/>
      <c r="U140" s="2"/>
      <c r="V140" s="2"/>
      <c r="W140" s="2"/>
      <c r="X140" s="2"/>
      <c r="Y140" s="2"/>
      <c r="Z140" s="2"/>
    </row>
    <row r="141" spans="1:26" ht="18.75" customHeight="1" x14ac:dyDescent="0.35">
      <c r="A141" s="208"/>
      <c r="B141" s="205"/>
      <c r="C141" s="206"/>
      <c r="D141" s="54"/>
      <c r="E141" s="53"/>
      <c r="F141" s="207"/>
      <c r="G141" s="16" t="str">
        <f t="shared" si="18"/>
        <v/>
      </c>
      <c r="H141" s="11" t="str">
        <f t="shared" si="19"/>
        <v/>
      </c>
      <c r="I141" s="12" t="str">
        <f t="shared" si="20"/>
        <v/>
      </c>
      <c r="J141" s="2"/>
      <c r="K141" s="2"/>
      <c r="L141" s="2"/>
      <c r="M141" s="2"/>
      <c r="N141" s="2"/>
      <c r="O141" s="2"/>
      <c r="P141" s="2"/>
      <c r="Q141" s="2"/>
      <c r="R141" s="2"/>
      <c r="S141" s="2"/>
      <c r="T141" s="2"/>
      <c r="U141" s="2"/>
      <c r="V141" s="2"/>
      <c r="W141" s="2"/>
      <c r="X141" s="2"/>
      <c r="Y141" s="2"/>
      <c r="Z141" s="2"/>
    </row>
    <row r="142" spans="1:26" ht="18.75" customHeight="1" x14ac:dyDescent="0.35">
      <c r="A142" s="208"/>
      <c r="B142" s="205"/>
      <c r="C142" s="206"/>
      <c r="D142" s="54"/>
      <c r="E142" s="53"/>
      <c r="F142" s="207"/>
      <c r="G142" s="16" t="str">
        <f t="shared" si="18"/>
        <v/>
      </c>
      <c r="H142" s="11" t="str">
        <f t="shared" si="19"/>
        <v/>
      </c>
      <c r="I142" s="12" t="str">
        <f t="shared" si="20"/>
        <v/>
      </c>
      <c r="J142" s="2"/>
      <c r="K142" s="2"/>
      <c r="L142" s="2"/>
      <c r="M142" s="2"/>
      <c r="N142" s="2"/>
      <c r="O142" s="2"/>
      <c r="P142" s="2"/>
      <c r="Q142" s="2"/>
      <c r="R142" s="2"/>
      <c r="S142" s="2"/>
      <c r="T142" s="2"/>
      <c r="U142" s="2"/>
      <c r="V142" s="2"/>
      <c r="W142" s="2"/>
      <c r="X142" s="2"/>
      <c r="Y142" s="2"/>
      <c r="Z142" s="2"/>
    </row>
    <row r="143" spans="1:26" ht="18.75" customHeight="1" x14ac:dyDescent="0.35">
      <c r="A143" s="208"/>
      <c r="B143" s="205"/>
      <c r="C143" s="206"/>
      <c r="D143" s="54"/>
      <c r="E143" s="53"/>
      <c r="F143" s="207"/>
      <c r="G143" s="16" t="str">
        <f t="shared" si="18"/>
        <v/>
      </c>
      <c r="H143" s="11" t="str">
        <f t="shared" si="19"/>
        <v/>
      </c>
      <c r="I143" s="12" t="str">
        <f t="shared" si="20"/>
        <v/>
      </c>
      <c r="J143" s="2"/>
      <c r="K143" s="2"/>
      <c r="L143" s="2"/>
      <c r="M143" s="2"/>
      <c r="N143" s="2"/>
      <c r="O143" s="2"/>
      <c r="P143" s="2"/>
      <c r="Q143" s="2"/>
      <c r="R143" s="2"/>
      <c r="S143" s="2"/>
      <c r="T143" s="2"/>
      <c r="U143" s="2"/>
      <c r="V143" s="2"/>
      <c r="W143" s="2"/>
      <c r="X143" s="2"/>
      <c r="Y143" s="2"/>
      <c r="Z143" s="2"/>
    </row>
    <row r="144" spans="1:26" ht="18.75" customHeight="1" x14ac:dyDescent="0.35">
      <c r="A144" s="208"/>
      <c r="B144" s="205"/>
      <c r="C144" s="206"/>
      <c r="D144" s="54"/>
      <c r="E144" s="53"/>
      <c r="F144" s="207"/>
      <c r="G144" s="16" t="str">
        <f t="shared" si="18"/>
        <v/>
      </c>
      <c r="H144" s="11" t="str">
        <f t="shared" si="19"/>
        <v/>
      </c>
      <c r="I144" s="12" t="str">
        <f t="shared" si="20"/>
        <v/>
      </c>
      <c r="J144" s="2"/>
      <c r="K144" s="2"/>
      <c r="L144" s="2"/>
      <c r="M144" s="2"/>
      <c r="N144" s="2"/>
      <c r="O144" s="2"/>
      <c r="P144" s="2"/>
      <c r="Q144" s="2"/>
      <c r="R144" s="2"/>
      <c r="S144" s="2"/>
      <c r="T144" s="2"/>
      <c r="U144" s="2"/>
      <c r="V144" s="2"/>
      <c r="W144" s="2"/>
      <c r="X144" s="2"/>
      <c r="Y144" s="2"/>
      <c r="Z144" s="2"/>
    </row>
    <row r="145" spans="1:26" ht="18.75" customHeight="1" x14ac:dyDescent="0.35">
      <c r="A145" s="61"/>
      <c r="B145" s="205"/>
      <c r="C145" s="206"/>
      <c r="D145" s="54"/>
      <c r="E145" s="53"/>
      <c r="F145" s="207"/>
      <c r="G145" s="16" t="str">
        <f t="shared" si="18"/>
        <v/>
      </c>
      <c r="H145" s="11" t="str">
        <f t="shared" si="19"/>
        <v/>
      </c>
      <c r="I145" s="12" t="str">
        <f t="shared" si="20"/>
        <v/>
      </c>
      <c r="J145" s="2"/>
      <c r="K145" s="2"/>
      <c r="L145" s="2"/>
      <c r="M145" s="2"/>
      <c r="N145" s="2"/>
      <c r="O145" s="2"/>
      <c r="P145" s="2"/>
      <c r="Q145" s="2"/>
      <c r="R145" s="2"/>
      <c r="S145" s="2"/>
      <c r="T145" s="2"/>
      <c r="U145" s="2"/>
      <c r="V145" s="2"/>
      <c r="W145" s="2"/>
      <c r="X145" s="2"/>
      <c r="Y145" s="2"/>
      <c r="Z145" s="2"/>
    </row>
    <row r="146" spans="1:26" ht="18.75" customHeight="1" x14ac:dyDescent="0.35">
      <c r="A146" s="209"/>
      <c r="B146" s="205"/>
      <c r="C146" s="206"/>
      <c r="D146" s="64"/>
      <c r="E146" s="53"/>
      <c r="F146" s="210"/>
      <c r="G146" s="16" t="str">
        <f t="shared" si="18"/>
        <v/>
      </c>
      <c r="H146" s="11" t="str">
        <f t="shared" si="19"/>
        <v/>
      </c>
      <c r="I146" s="12" t="str">
        <f t="shared" si="20"/>
        <v/>
      </c>
      <c r="J146" s="2"/>
      <c r="K146" s="2"/>
      <c r="L146" s="2"/>
      <c r="M146" s="2"/>
      <c r="N146" s="2"/>
      <c r="O146" s="2"/>
      <c r="P146" s="2"/>
      <c r="Q146" s="2"/>
      <c r="R146" s="2"/>
      <c r="S146" s="2"/>
      <c r="T146" s="2"/>
      <c r="U146" s="2"/>
      <c r="V146" s="2"/>
      <c r="W146" s="2"/>
      <c r="X146" s="2"/>
      <c r="Y146" s="2"/>
      <c r="Z146" s="2"/>
    </row>
    <row r="147" spans="1:26" ht="18.75" customHeight="1" x14ac:dyDescent="0.3">
      <c r="A147" s="138" t="s">
        <v>66</v>
      </c>
      <c r="B147" s="146"/>
      <c r="C147" s="24"/>
      <c r="D147" s="44">
        <f>SUM(D134:D146)</f>
        <v>16800</v>
      </c>
      <c r="E147" s="168"/>
      <c r="F147" s="44">
        <f>SUM(F139:F146)</f>
        <v>3600</v>
      </c>
      <c r="G147" s="169">
        <f t="shared" ref="G147:I147" si="21">SUM(G134:G146)</f>
        <v>2800</v>
      </c>
      <c r="H147" s="170">
        <f t="shared" si="21"/>
        <v>31.111111111111111</v>
      </c>
      <c r="I147" s="171">
        <f t="shared" si="21"/>
        <v>6.4367816091954024</v>
      </c>
      <c r="J147" s="1"/>
      <c r="K147" s="1"/>
      <c r="L147" s="1"/>
      <c r="M147" s="1"/>
      <c r="N147" s="1"/>
      <c r="O147" s="1"/>
      <c r="P147" s="1"/>
      <c r="Q147" s="1"/>
      <c r="R147" s="1"/>
      <c r="S147" s="1"/>
      <c r="T147" s="1"/>
      <c r="U147" s="1"/>
      <c r="V147" s="1"/>
      <c r="W147" s="1"/>
      <c r="X147" s="1"/>
      <c r="Y147" s="1"/>
      <c r="Z147" s="1"/>
    </row>
    <row r="148" spans="1:26" ht="18.75" customHeight="1" x14ac:dyDescent="0.3">
      <c r="A148" s="31" t="s">
        <v>157</v>
      </c>
      <c r="B148" s="31"/>
      <c r="C148" s="2"/>
      <c r="D148" s="31" t="s">
        <v>154</v>
      </c>
      <c r="E148" s="196">
        <v>0.01</v>
      </c>
      <c r="F148" s="161"/>
      <c r="G148" s="50">
        <f>((D147+F147)/2)*E148</f>
        <v>102</v>
      </c>
      <c r="H148" s="51">
        <f>G148/$H$8</f>
        <v>1.1333333333333333</v>
      </c>
      <c r="I148" s="41">
        <f>G148/($I$12)</f>
        <v>0.23448275862068965</v>
      </c>
      <c r="J148" s="2"/>
      <c r="K148" s="2"/>
      <c r="L148" s="2"/>
      <c r="M148" s="2"/>
      <c r="N148" s="2"/>
      <c r="O148" s="2"/>
      <c r="P148" s="2"/>
      <c r="Q148" s="2"/>
      <c r="R148" s="2"/>
      <c r="S148" s="2"/>
      <c r="T148" s="2"/>
      <c r="U148" s="2"/>
      <c r="V148" s="2"/>
      <c r="W148" s="2"/>
      <c r="X148" s="2"/>
      <c r="Y148" s="2"/>
      <c r="Z148" s="2"/>
    </row>
    <row r="149" spans="1:26" ht="18.75" customHeight="1" x14ac:dyDescent="0.3">
      <c r="A149" s="31"/>
      <c r="B149" s="31"/>
      <c r="C149" s="2"/>
      <c r="D149" s="56"/>
      <c r="E149" s="189"/>
      <c r="F149" s="161"/>
      <c r="G149" s="90"/>
      <c r="H149" s="90"/>
      <c r="I149" s="90"/>
      <c r="J149" s="2"/>
      <c r="K149" s="2"/>
      <c r="L149" s="2"/>
      <c r="M149" s="2"/>
      <c r="N149" s="2"/>
      <c r="O149" s="2"/>
      <c r="P149" s="2"/>
      <c r="Q149" s="2"/>
      <c r="R149" s="2"/>
      <c r="S149" s="2"/>
      <c r="T149" s="2"/>
      <c r="U149" s="2"/>
      <c r="V149" s="2"/>
      <c r="W149" s="2"/>
      <c r="X149" s="2"/>
      <c r="Y149" s="2"/>
      <c r="Z149" s="2"/>
    </row>
    <row r="150" spans="1:26" ht="18.75" customHeight="1" x14ac:dyDescent="0.3">
      <c r="A150" s="31"/>
      <c r="B150" s="31"/>
      <c r="C150" s="2"/>
      <c r="D150" s="56"/>
      <c r="E150" s="189"/>
      <c r="F150" s="161"/>
      <c r="G150" s="90"/>
      <c r="H150" s="90"/>
      <c r="I150" s="90"/>
      <c r="J150" s="2"/>
      <c r="K150" s="2"/>
      <c r="L150" s="2"/>
      <c r="M150" s="2"/>
      <c r="N150" s="2"/>
      <c r="O150" s="2"/>
      <c r="P150" s="2"/>
      <c r="Q150" s="2"/>
      <c r="R150" s="2"/>
      <c r="S150" s="2"/>
      <c r="T150" s="2"/>
      <c r="U150" s="2"/>
      <c r="V150" s="2"/>
      <c r="W150" s="2"/>
      <c r="X150" s="2"/>
      <c r="Y150" s="2"/>
      <c r="Z150" s="2"/>
    </row>
    <row r="151" spans="1:26" ht="18.75" customHeight="1" x14ac:dyDescent="0.3">
      <c r="A151" s="31"/>
      <c r="B151" s="31"/>
      <c r="C151" s="2"/>
      <c r="D151" s="56"/>
      <c r="E151" s="189"/>
      <c r="F151" s="161"/>
      <c r="G151" s="90"/>
      <c r="H151" s="90"/>
      <c r="I151" s="90"/>
      <c r="J151" s="2"/>
      <c r="K151" s="2"/>
      <c r="L151" s="2"/>
      <c r="M151" s="2"/>
      <c r="N151" s="2"/>
      <c r="O151" s="2"/>
      <c r="P151" s="2"/>
      <c r="Q151" s="2"/>
      <c r="R151" s="2"/>
      <c r="S151" s="2"/>
      <c r="T151" s="2"/>
      <c r="U151" s="2"/>
      <c r="V151" s="2"/>
      <c r="W151" s="2"/>
      <c r="X151" s="2"/>
      <c r="Y151" s="2"/>
      <c r="Z151" s="2"/>
    </row>
    <row r="152" spans="1:26" ht="18.75" customHeight="1" x14ac:dyDescent="0.3">
      <c r="A152" s="31"/>
      <c r="B152" s="31"/>
      <c r="C152" s="2"/>
      <c r="D152" s="56"/>
      <c r="E152" s="189"/>
      <c r="F152" s="161"/>
      <c r="G152" s="90"/>
      <c r="H152" s="90"/>
      <c r="I152" s="90"/>
      <c r="J152" s="2"/>
      <c r="K152" s="2"/>
      <c r="L152" s="2"/>
      <c r="M152" s="2"/>
      <c r="N152" s="2"/>
      <c r="O152" s="2"/>
      <c r="P152" s="2"/>
      <c r="Q152" s="2"/>
      <c r="R152" s="2"/>
      <c r="S152" s="2"/>
      <c r="T152" s="2"/>
      <c r="U152" s="2"/>
      <c r="V152" s="2"/>
      <c r="W152" s="2"/>
      <c r="X152" s="2"/>
      <c r="Y152" s="2"/>
      <c r="Z152" s="2"/>
    </row>
    <row r="153" spans="1:26" ht="18.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75" customHeight="1" x14ac:dyDescent="0.3">
      <c r="A154" s="127" t="s">
        <v>162</v>
      </c>
      <c r="B154" s="126"/>
      <c r="C154" s="126"/>
      <c r="D154" s="126"/>
      <c r="E154" s="126"/>
      <c r="F154" s="126"/>
      <c r="G154" s="126"/>
      <c r="H154" s="126"/>
      <c r="I154" s="126"/>
      <c r="J154" s="2"/>
      <c r="K154" s="2"/>
      <c r="L154" s="2"/>
      <c r="M154" s="2"/>
      <c r="N154" s="2"/>
      <c r="O154" s="2"/>
      <c r="P154" s="2"/>
      <c r="Q154" s="2"/>
      <c r="R154" s="2"/>
      <c r="S154" s="2"/>
      <c r="T154" s="2"/>
      <c r="U154" s="2"/>
      <c r="V154" s="2"/>
      <c r="W154" s="2"/>
      <c r="X154" s="2"/>
      <c r="Y154" s="2"/>
      <c r="Z154" s="2"/>
    </row>
    <row r="155" spans="1:26" ht="56.25" customHeight="1" x14ac:dyDescent="0.3">
      <c r="A155" s="9" t="s">
        <v>44</v>
      </c>
      <c r="B155" s="10" t="s">
        <v>67</v>
      </c>
      <c r="C155" s="10" t="s">
        <v>68</v>
      </c>
      <c r="D155" s="10" t="s">
        <v>69</v>
      </c>
      <c r="E155" s="10" t="s">
        <v>70</v>
      </c>
      <c r="F155" s="10" t="s">
        <v>71</v>
      </c>
      <c r="G155" s="10" t="s">
        <v>72</v>
      </c>
      <c r="H155" s="5" t="s">
        <v>9</v>
      </c>
      <c r="I155" s="10" t="s">
        <v>10</v>
      </c>
      <c r="J155" s="8"/>
      <c r="K155" s="8"/>
      <c r="L155" s="8"/>
      <c r="M155" s="8"/>
      <c r="N155" s="8"/>
      <c r="O155" s="8"/>
      <c r="P155" s="8"/>
      <c r="Q155" s="8"/>
      <c r="R155" s="8"/>
      <c r="S155" s="8"/>
      <c r="T155" s="8"/>
      <c r="U155" s="8"/>
      <c r="V155" s="8"/>
      <c r="W155" s="8"/>
      <c r="X155" s="8"/>
      <c r="Y155" s="8"/>
      <c r="Z155" s="8"/>
    </row>
    <row r="156" spans="1:26" ht="18.75" customHeight="1" x14ac:dyDescent="0.3">
      <c r="A156" s="53" t="s">
        <v>73</v>
      </c>
      <c r="B156" s="54">
        <v>9000</v>
      </c>
      <c r="C156" s="53">
        <v>9</v>
      </c>
      <c r="D156" s="54">
        <v>1200</v>
      </c>
      <c r="E156" s="16">
        <f>IFERROR((B156-D156)/C156,"")</f>
        <v>866.66666666666663</v>
      </c>
      <c r="F156" s="158">
        <v>0.75</v>
      </c>
      <c r="G156" s="16">
        <f>IFERROR(E156*F156,"")</f>
        <v>650</v>
      </c>
      <c r="H156" s="11">
        <f>IFERROR(G156/$H$8,"")</f>
        <v>7.2222222222222223</v>
      </c>
      <c r="I156" s="12">
        <f>IFERROR(G156/$I$12,"")</f>
        <v>1.4942528735632183</v>
      </c>
      <c r="J156" s="2"/>
      <c r="K156" s="2"/>
      <c r="L156" s="2"/>
      <c r="M156" s="2"/>
      <c r="N156" s="2"/>
      <c r="O156" s="2"/>
      <c r="P156" s="2"/>
      <c r="Q156" s="2"/>
      <c r="R156" s="2"/>
      <c r="S156" s="2"/>
      <c r="T156" s="2"/>
      <c r="U156" s="2"/>
      <c r="V156" s="2"/>
      <c r="W156" s="2"/>
      <c r="X156" s="2"/>
      <c r="Y156" s="2"/>
      <c r="Z156" s="2"/>
    </row>
    <row r="157" spans="1:26" ht="18.75" customHeight="1" x14ac:dyDescent="0.3">
      <c r="A157" s="53" t="s">
        <v>74</v>
      </c>
      <c r="B157" s="54">
        <v>22500</v>
      </c>
      <c r="C157" s="53">
        <v>15</v>
      </c>
      <c r="D157" s="54">
        <v>7000</v>
      </c>
      <c r="E157" s="16">
        <f t="shared" ref="E157:E174" si="22">IFERROR((B157-D157)/C157,"")</f>
        <v>1033.3333333333333</v>
      </c>
      <c r="F157" s="158">
        <v>0.85</v>
      </c>
      <c r="G157" s="16">
        <f t="shared" ref="G157:G174" si="23">IFERROR(E157*F157,"")</f>
        <v>878.33333333333326</v>
      </c>
      <c r="H157" s="11">
        <f t="shared" ref="H157:H174" si="24">IFERROR(G157/$H$8,"")</f>
        <v>9.7592592592592577</v>
      </c>
      <c r="I157" s="12">
        <f t="shared" ref="I157:I174" si="25">IFERROR(G157/$I$12,"")</f>
        <v>2.0191570881226051</v>
      </c>
      <c r="J157" s="2"/>
      <c r="K157" s="2"/>
      <c r="L157" s="2"/>
      <c r="M157" s="2"/>
      <c r="N157" s="2"/>
      <c r="O157" s="2"/>
      <c r="P157" s="2"/>
      <c r="Q157" s="2"/>
      <c r="R157" s="2"/>
      <c r="S157" s="2"/>
      <c r="T157" s="2"/>
      <c r="U157" s="2"/>
      <c r="V157" s="2"/>
      <c r="W157" s="2"/>
      <c r="X157" s="2"/>
      <c r="Y157" s="2"/>
      <c r="Z157" s="2"/>
    </row>
    <row r="158" spans="1:26" ht="18.75" customHeight="1" x14ac:dyDescent="0.3">
      <c r="A158" s="53" t="s">
        <v>75</v>
      </c>
      <c r="B158" s="54">
        <v>10000</v>
      </c>
      <c r="C158" s="53">
        <v>12</v>
      </c>
      <c r="D158" s="54">
        <v>1800</v>
      </c>
      <c r="E158" s="16">
        <f t="shared" si="22"/>
        <v>683.33333333333337</v>
      </c>
      <c r="F158" s="158">
        <v>0.75</v>
      </c>
      <c r="G158" s="16">
        <f t="shared" si="23"/>
        <v>512.5</v>
      </c>
      <c r="H158" s="11">
        <f t="shared" si="24"/>
        <v>5.6944444444444446</v>
      </c>
      <c r="I158" s="12">
        <f t="shared" si="25"/>
        <v>1.1781609195402298</v>
      </c>
      <c r="J158" s="2"/>
      <c r="K158" s="2"/>
      <c r="L158" s="2"/>
      <c r="M158" s="2"/>
      <c r="N158" s="2"/>
      <c r="O158" s="2"/>
      <c r="P158" s="2"/>
      <c r="Q158" s="2"/>
      <c r="R158" s="2"/>
      <c r="S158" s="2"/>
      <c r="T158" s="2"/>
      <c r="U158" s="2"/>
      <c r="V158" s="2"/>
      <c r="W158" s="2"/>
      <c r="X158" s="2"/>
      <c r="Y158" s="2"/>
      <c r="Z158" s="2"/>
    </row>
    <row r="159" spans="1:26" ht="18.75" customHeight="1" x14ac:dyDescent="0.3">
      <c r="A159" s="53" t="s">
        <v>76</v>
      </c>
      <c r="B159" s="54">
        <v>24000</v>
      </c>
      <c r="C159" s="53">
        <v>8</v>
      </c>
      <c r="D159" s="54">
        <v>5000</v>
      </c>
      <c r="E159" s="16">
        <f t="shared" si="22"/>
        <v>2375</v>
      </c>
      <c r="F159" s="158">
        <v>0.6</v>
      </c>
      <c r="G159" s="16">
        <f t="shared" si="23"/>
        <v>1425</v>
      </c>
      <c r="H159" s="11">
        <f t="shared" si="24"/>
        <v>15.833333333333334</v>
      </c>
      <c r="I159" s="12">
        <f t="shared" si="25"/>
        <v>3.2758620689655173</v>
      </c>
      <c r="J159" s="2"/>
      <c r="K159" s="2"/>
      <c r="L159" s="2"/>
      <c r="M159" s="2"/>
      <c r="N159" s="2"/>
      <c r="O159" s="2"/>
      <c r="P159" s="2"/>
      <c r="Q159" s="2"/>
      <c r="R159" s="2"/>
      <c r="S159" s="2"/>
      <c r="T159" s="2"/>
      <c r="U159" s="2"/>
      <c r="V159" s="2"/>
      <c r="W159" s="2"/>
      <c r="X159" s="2"/>
      <c r="Y159" s="2"/>
      <c r="Z159" s="2"/>
    </row>
    <row r="160" spans="1:26" ht="18.75" customHeight="1" x14ac:dyDescent="0.3">
      <c r="A160" s="53" t="s">
        <v>77</v>
      </c>
      <c r="B160" s="54">
        <v>9500</v>
      </c>
      <c r="C160" s="53">
        <v>12</v>
      </c>
      <c r="D160" s="54">
        <v>1500</v>
      </c>
      <c r="E160" s="16">
        <f t="shared" si="22"/>
        <v>666.66666666666663</v>
      </c>
      <c r="F160" s="158">
        <v>1</v>
      </c>
      <c r="G160" s="16">
        <f t="shared" si="23"/>
        <v>666.66666666666663</v>
      </c>
      <c r="H160" s="11">
        <f t="shared" si="24"/>
        <v>7.4074074074074066</v>
      </c>
      <c r="I160" s="12">
        <f t="shared" si="25"/>
        <v>1.5325670498084289</v>
      </c>
      <c r="J160" s="2"/>
      <c r="K160" s="2"/>
      <c r="L160" s="2"/>
      <c r="M160" s="2"/>
      <c r="N160" s="2"/>
      <c r="O160" s="2"/>
      <c r="P160" s="2"/>
      <c r="Q160" s="2"/>
      <c r="R160" s="2"/>
      <c r="S160" s="2"/>
      <c r="T160" s="2"/>
      <c r="U160" s="2"/>
      <c r="V160" s="2"/>
      <c r="W160" s="2"/>
      <c r="X160" s="2"/>
      <c r="Y160" s="2"/>
      <c r="Z160" s="2"/>
    </row>
    <row r="161" spans="1:26" ht="18.75" customHeight="1" x14ac:dyDescent="0.3">
      <c r="A161" s="53" t="s">
        <v>78</v>
      </c>
      <c r="B161" s="54">
        <v>2500</v>
      </c>
      <c r="C161" s="53">
        <v>10</v>
      </c>
      <c r="D161" s="54">
        <v>500</v>
      </c>
      <c r="E161" s="16">
        <f t="shared" si="22"/>
        <v>200</v>
      </c>
      <c r="F161" s="158">
        <v>1</v>
      </c>
      <c r="G161" s="16">
        <f t="shared" si="23"/>
        <v>200</v>
      </c>
      <c r="H161" s="11">
        <f t="shared" si="24"/>
        <v>2.2222222222222223</v>
      </c>
      <c r="I161" s="12">
        <f t="shared" si="25"/>
        <v>0.45977011494252873</v>
      </c>
      <c r="J161" s="2"/>
      <c r="K161" s="2"/>
      <c r="L161" s="2"/>
      <c r="M161" s="2"/>
      <c r="N161" s="2"/>
      <c r="O161" s="2"/>
      <c r="P161" s="2"/>
      <c r="Q161" s="2"/>
      <c r="R161" s="2"/>
      <c r="S161" s="2"/>
      <c r="T161" s="2"/>
      <c r="U161" s="2"/>
      <c r="V161" s="2"/>
      <c r="W161" s="2"/>
      <c r="X161" s="2"/>
      <c r="Y161" s="2"/>
      <c r="Z161" s="2"/>
    </row>
    <row r="162" spans="1:26" ht="18.75" customHeight="1" x14ac:dyDescent="0.3">
      <c r="A162" s="53" t="s">
        <v>79</v>
      </c>
      <c r="B162" s="54">
        <v>3000</v>
      </c>
      <c r="C162" s="53">
        <v>6</v>
      </c>
      <c r="D162" s="54">
        <v>120</v>
      </c>
      <c r="E162" s="16">
        <f t="shared" si="22"/>
        <v>480</v>
      </c>
      <c r="F162" s="158">
        <v>1</v>
      </c>
      <c r="G162" s="16">
        <f t="shared" si="23"/>
        <v>480</v>
      </c>
      <c r="H162" s="11">
        <f t="shared" si="24"/>
        <v>5.333333333333333</v>
      </c>
      <c r="I162" s="12">
        <f t="shared" si="25"/>
        <v>1.103448275862069</v>
      </c>
      <c r="J162" s="2"/>
      <c r="K162" s="2"/>
      <c r="L162" s="2"/>
      <c r="M162" s="2"/>
      <c r="N162" s="2"/>
      <c r="O162" s="2"/>
      <c r="P162" s="2"/>
      <c r="Q162" s="2"/>
      <c r="R162" s="2"/>
      <c r="S162" s="2"/>
      <c r="T162" s="2"/>
      <c r="U162" s="2"/>
      <c r="V162" s="2"/>
      <c r="W162" s="2"/>
      <c r="X162" s="2"/>
      <c r="Y162" s="2"/>
      <c r="Z162" s="2"/>
    </row>
    <row r="163" spans="1:26" ht="18.75" customHeight="1" x14ac:dyDescent="0.3">
      <c r="A163" s="53"/>
      <c r="B163" s="54"/>
      <c r="C163" s="53"/>
      <c r="D163" s="54"/>
      <c r="E163" s="16" t="str">
        <f t="shared" si="22"/>
        <v/>
      </c>
      <c r="F163" s="158"/>
      <c r="G163" s="16" t="str">
        <f t="shared" si="23"/>
        <v/>
      </c>
      <c r="H163" s="11" t="str">
        <f t="shared" si="24"/>
        <v/>
      </c>
      <c r="I163" s="12" t="str">
        <f t="shared" si="25"/>
        <v/>
      </c>
      <c r="J163" s="2"/>
      <c r="K163" s="2"/>
      <c r="L163" s="2"/>
      <c r="M163" s="2"/>
      <c r="N163" s="2"/>
      <c r="O163" s="2"/>
      <c r="P163" s="2"/>
      <c r="Q163" s="2"/>
      <c r="R163" s="2"/>
      <c r="S163" s="2"/>
      <c r="T163" s="2"/>
      <c r="U163" s="2"/>
      <c r="V163" s="2"/>
      <c r="W163" s="2"/>
      <c r="X163" s="2"/>
      <c r="Y163" s="2"/>
      <c r="Z163" s="2"/>
    </row>
    <row r="164" spans="1:26" ht="18.75" customHeight="1" x14ac:dyDescent="0.3">
      <c r="A164" s="53"/>
      <c r="B164" s="54"/>
      <c r="C164" s="53"/>
      <c r="D164" s="54"/>
      <c r="E164" s="16" t="str">
        <f t="shared" si="22"/>
        <v/>
      </c>
      <c r="F164" s="158"/>
      <c r="G164" s="16" t="str">
        <f t="shared" si="23"/>
        <v/>
      </c>
      <c r="H164" s="11" t="str">
        <f t="shared" si="24"/>
        <v/>
      </c>
      <c r="I164" s="12" t="str">
        <f t="shared" si="25"/>
        <v/>
      </c>
      <c r="J164" s="2"/>
      <c r="K164" s="2"/>
      <c r="L164" s="2"/>
      <c r="M164" s="2"/>
      <c r="N164" s="2"/>
      <c r="O164" s="2"/>
      <c r="P164" s="2"/>
      <c r="Q164" s="2"/>
      <c r="R164" s="2"/>
      <c r="S164" s="2"/>
      <c r="T164" s="2"/>
      <c r="U164" s="2"/>
      <c r="V164" s="2"/>
      <c r="W164" s="2"/>
      <c r="X164" s="2"/>
      <c r="Y164" s="2"/>
      <c r="Z164" s="2"/>
    </row>
    <row r="165" spans="1:26" ht="18.75" customHeight="1" x14ac:dyDescent="0.3">
      <c r="A165" s="53"/>
      <c r="B165" s="54"/>
      <c r="C165" s="53"/>
      <c r="D165" s="54"/>
      <c r="E165" s="16" t="str">
        <f t="shared" si="22"/>
        <v/>
      </c>
      <c r="F165" s="158"/>
      <c r="G165" s="16" t="str">
        <f t="shared" si="23"/>
        <v/>
      </c>
      <c r="H165" s="11" t="str">
        <f t="shared" si="24"/>
        <v/>
      </c>
      <c r="I165" s="12" t="str">
        <f t="shared" si="25"/>
        <v/>
      </c>
      <c r="J165" s="2"/>
      <c r="K165" s="2"/>
      <c r="L165" s="2"/>
      <c r="M165" s="2"/>
      <c r="N165" s="2"/>
      <c r="O165" s="2"/>
      <c r="P165" s="2"/>
      <c r="Q165" s="2"/>
      <c r="R165" s="2"/>
      <c r="S165" s="2"/>
      <c r="T165" s="2"/>
      <c r="U165" s="2"/>
      <c r="V165" s="2"/>
      <c r="W165" s="2"/>
      <c r="X165" s="2"/>
      <c r="Y165" s="2"/>
      <c r="Z165" s="2"/>
    </row>
    <row r="166" spans="1:26" ht="18.75" customHeight="1" x14ac:dyDescent="0.3">
      <c r="A166" s="53"/>
      <c r="B166" s="54"/>
      <c r="C166" s="53"/>
      <c r="D166" s="54"/>
      <c r="E166" s="16" t="str">
        <f t="shared" si="22"/>
        <v/>
      </c>
      <c r="F166" s="158"/>
      <c r="G166" s="16" t="str">
        <f t="shared" si="23"/>
        <v/>
      </c>
      <c r="H166" s="11" t="str">
        <f t="shared" si="24"/>
        <v/>
      </c>
      <c r="I166" s="12" t="str">
        <f t="shared" si="25"/>
        <v/>
      </c>
      <c r="J166" s="2"/>
      <c r="K166" s="2"/>
      <c r="L166" s="2"/>
      <c r="M166" s="2"/>
      <c r="N166" s="2"/>
      <c r="O166" s="2"/>
      <c r="P166" s="2"/>
      <c r="Q166" s="2"/>
      <c r="R166" s="2"/>
      <c r="S166" s="2"/>
      <c r="T166" s="2"/>
      <c r="U166" s="2"/>
      <c r="V166" s="2"/>
      <c r="W166" s="2"/>
      <c r="X166" s="2"/>
      <c r="Y166" s="2"/>
      <c r="Z166" s="2"/>
    </row>
    <row r="167" spans="1:26" ht="18.75" customHeight="1" x14ac:dyDescent="0.3">
      <c r="A167" s="53"/>
      <c r="B167" s="54"/>
      <c r="C167" s="53"/>
      <c r="D167" s="54"/>
      <c r="E167" s="16" t="str">
        <f t="shared" si="22"/>
        <v/>
      </c>
      <c r="F167" s="158"/>
      <c r="G167" s="16" t="str">
        <f t="shared" si="23"/>
        <v/>
      </c>
      <c r="H167" s="11" t="str">
        <f t="shared" si="24"/>
        <v/>
      </c>
      <c r="I167" s="12" t="str">
        <f t="shared" si="25"/>
        <v/>
      </c>
      <c r="J167" s="2"/>
      <c r="K167" s="2"/>
      <c r="L167" s="2"/>
      <c r="M167" s="2"/>
      <c r="N167" s="2"/>
      <c r="O167" s="2"/>
      <c r="P167" s="2"/>
      <c r="Q167" s="2"/>
      <c r="R167" s="2"/>
      <c r="S167" s="2"/>
      <c r="T167" s="2"/>
      <c r="U167" s="2"/>
      <c r="V167" s="2"/>
      <c r="W167" s="2"/>
      <c r="X167" s="2"/>
      <c r="Y167" s="2"/>
      <c r="Z167" s="2"/>
    </row>
    <row r="168" spans="1:26" ht="18.75" customHeight="1" x14ac:dyDescent="0.3">
      <c r="A168" s="53"/>
      <c r="B168" s="54"/>
      <c r="C168" s="53"/>
      <c r="D168" s="54"/>
      <c r="E168" s="16" t="str">
        <f t="shared" si="22"/>
        <v/>
      </c>
      <c r="F168" s="158"/>
      <c r="G168" s="16" t="str">
        <f t="shared" si="23"/>
        <v/>
      </c>
      <c r="H168" s="11" t="str">
        <f t="shared" si="24"/>
        <v/>
      </c>
      <c r="I168" s="12" t="str">
        <f t="shared" si="25"/>
        <v/>
      </c>
      <c r="J168" s="2"/>
      <c r="K168" s="2"/>
      <c r="L168" s="2"/>
      <c r="M168" s="2"/>
      <c r="N168" s="2"/>
      <c r="O168" s="2"/>
      <c r="P168" s="2"/>
      <c r="Q168" s="2"/>
      <c r="R168" s="2"/>
      <c r="S168" s="2"/>
      <c r="T168" s="2"/>
      <c r="U168" s="2"/>
      <c r="V168" s="2"/>
      <c r="W168" s="2"/>
      <c r="X168" s="2"/>
      <c r="Y168" s="2"/>
      <c r="Z168" s="2"/>
    </row>
    <row r="169" spans="1:26" ht="18.75" customHeight="1" x14ac:dyDescent="0.3">
      <c r="A169" s="53"/>
      <c r="B169" s="54"/>
      <c r="C169" s="53"/>
      <c r="D169" s="54"/>
      <c r="E169" s="16" t="str">
        <f t="shared" si="22"/>
        <v/>
      </c>
      <c r="F169" s="158"/>
      <c r="G169" s="16" t="str">
        <f t="shared" si="23"/>
        <v/>
      </c>
      <c r="H169" s="11" t="str">
        <f t="shared" si="24"/>
        <v/>
      </c>
      <c r="I169" s="12" t="str">
        <f t="shared" si="25"/>
        <v/>
      </c>
      <c r="J169" s="2"/>
      <c r="K169" s="2"/>
      <c r="L169" s="2"/>
      <c r="M169" s="2"/>
      <c r="N169" s="2"/>
      <c r="O169" s="2"/>
      <c r="P169" s="2"/>
      <c r="Q169" s="2"/>
      <c r="R169" s="2"/>
      <c r="S169" s="2"/>
      <c r="T169" s="2"/>
      <c r="U169" s="2"/>
      <c r="V169" s="2"/>
      <c r="W169" s="2"/>
      <c r="X169" s="2"/>
      <c r="Y169" s="2"/>
      <c r="Z169" s="2"/>
    </row>
    <row r="170" spans="1:26" ht="18.75" customHeight="1" x14ac:dyDescent="0.3">
      <c r="A170" s="53"/>
      <c r="B170" s="54"/>
      <c r="C170" s="53"/>
      <c r="D170" s="54"/>
      <c r="E170" s="16" t="str">
        <f t="shared" si="22"/>
        <v/>
      </c>
      <c r="F170" s="158"/>
      <c r="G170" s="16" t="str">
        <f t="shared" si="23"/>
        <v/>
      </c>
      <c r="H170" s="11" t="str">
        <f t="shared" si="24"/>
        <v/>
      </c>
      <c r="I170" s="12" t="str">
        <f t="shared" si="25"/>
        <v/>
      </c>
      <c r="J170" s="2"/>
      <c r="K170" s="2"/>
      <c r="L170" s="2"/>
      <c r="M170" s="2"/>
      <c r="N170" s="2"/>
      <c r="O170" s="2"/>
      <c r="P170" s="2"/>
      <c r="Q170" s="2"/>
      <c r="R170" s="2"/>
      <c r="S170" s="2"/>
      <c r="T170" s="2"/>
      <c r="U170" s="2"/>
      <c r="V170" s="2"/>
      <c r="W170" s="2"/>
      <c r="X170" s="2"/>
      <c r="Y170" s="2"/>
      <c r="Z170" s="2"/>
    </row>
    <row r="171" spans="1:26" ht="18.75" customHeight="1" x14ac:dyDescent="0.3">
      <c r="A171" s="53"/>
      <c r="B171" s="54"/>
      <c r="C171" s="53"/>
      <c r="D171" s="54"/>
      <c r="E171" s="16" t="str">
        <f t="shared" si="22"/>
        <v/>
      </c>
      <c r="F171" s="158"/>
      <c r="G171" s="16" t="str">
        <f t="shared" si="23"/>
        <v/>
      </c>
      <c r="H171" s="11" t="str">
        <f t="shared" si="24"/>
        <v/>
      </c>
      <c r="I171" s="12" t="str">
        <f t="shared" si="25"/>
        <v/>
      </c>
      <c r="J171" s="2"/>
      <c r="K171" s="2"/>
      <c r="L171" s="2"/>
      <c r="M171" s="2"/>
      <c r="N171" s="2"/>
      <c r="O171" s="2"/>
      <c r="P171" s="2"/>
      <c r="Q171" s="2"/>
      <c r="R171" s="2"/>
      <c r="S171" s="2"/>
      <c r="T171" s="2"/>
      <c r="U171" s="2"/>
      <c r="V171" s="2"/>
      <c r="W171" s="2"/>
      <c r="X171" s="2"/>
      <c r="Y171" s="2"/>
      <c r="Z171" s="2"/>
    </row>
    <row r="172" spans="1:26" ht="18.75" customHeight="1" x14ac:dyDescent="0.3">
      <c r="A172" s="53"/>
      <c r="B172" s="54"/>
      <c r="C172" s="53"/>
      <c r="D172" s="54"/>
      <c r="E172" s="16" t="str">
        <f t="shared" si="22"/>
        <v/>
      </c>
      <c r="F172" s="158"/>
      <c r="G172" s="16" t="str">
        <f t="shared" si="23"/>
        <v/>
      </c>
      <c r="H172" s="11" t="str">
        <f t="shared" si="24"/>
        <v/>
      </c>
      <c r="I172" s="12" t="str">
        <f t="shared" si="25"/>
        <v/>
      </c>
      <c r="J172" s="2"/>
      <c r="K172" s="2"/>
      <c r="L172" s="2"/>
      <c r="M172" s="2"/>
      <c r="N172" s="2"/>
      <c r="O172" s="2"/>
      <c r="P172" s="2"/>
      <c r="Q172" s="2"/>
      <c r="R172" s="2"/>
      <c r="S172" s="2"/>
      <c r="T172" s="2"/>
      <c r="U172" s="2"/>
      <c r="V172" s="2"/>
      <c r="W172" s="2"/>
      <c r="X172" s="2"/>
      <c r="Y172" s="2"/>
      <c r="Z172" s="2"/>
    </row>
    <row r="173" spans="1:26" ht="18.75" customHeight="1" x14ac:dyDescent="0.3">
      <c r="A173" s="53"/>
      <c r="B173" s="54"/>
      <c r="C173" s="53"/>
      <c r="D173" s="54"/>
      <c r="E173" s="16" t="str">
        <f t="shared" si="22"/>
        <v/>
      </c>
      <c r="F173" s="158"/>
      <c r="G173" s="16" t="str">
        <f t="shared" si="23"/>
        <v/>
      </c>
      <c r="H173" s="11" t="str">
        <f t="shared" si="24"/>
        <v/>
      </c>
      <c r="I173" s="12" t="str">
        <f t="shared" si="25"/>
        <v/>
      </c>
      <c r="J173" s="2"/>
      <c r="K173" s="2"/>
      <c r="L173" s="2"/>
      <c r="M173" s="2"/>
      <c r="N173" s="2"/>
      <c r="O173" s="2"/>
      <c r="P173" s="2"/>
      <c r="Q173" s="2"/>
      <c r="R173" s="2"/>
      <c r="S173" s="2"/>
      <c r="T173" s="2"/>
      <c r="U173" s="2"/>
      <c r="V173" s="2"/>
      <c r="W173" s="2"/>
      <c r="X173" s="2"/>
      <c r="Y173" s="2"/>
      <c r="Z173" s="2"/>
    </row>
    <row r="174" spans="1:26" ht="18.75" customHeight="1" x14ac:dyDescent="0.3">
      <c r="A174" s="53"/>
      <c r="B174" s="64"/>
      <c r="C174" s="63"/>
      <c r="D174" s="64"/>
      <c r="E174" s="68" t="str">
        <f t="shared" si="22"/>
        <v/>
      </c>
      <c r="F174" s="159"/>
      <c r="G174" s="68" t="str">
        <f t="shared" si="23"/>
        <v/>
      </c>
      <c r="H174" s="11" t="str">
        <f t="shared" si="24"/>
        <v/>
      </c>
      <c r="I174" s="12" t="str">
        <f t="shared" si="25"/>
        <v/>
      </c>
      <c r="J174" s="2"/>
      <c r="K174" s="2"/>
      <c r="L174" s="2"/>
      <c r="M174" s="2"/>
      <c r="N174" s="2"/>
      <c r="O174" s="2"/>
      <c r="P174" s="2"/>
      <c r="Q174" s="2"/>
      <c r="R174" s="2"/>
      <c r="S174" s="2"/>
      <c r="T174" s="2"/>
      <c r="U174" s="2"/>
      <c r="V174" s="2"/>
      <c r="W174" s="2"/>
      <c r="X174" s="2"/>
      <c r="Y174" s="2"/>
      <c r="Z174" s="2"/>
    </row>
    <row r="175" spans="1:26" s="49" customFormat="1" ht="18.75" customHeight="1" x14ac:dyDescent="0.3">
      <c r="A175" s="67" t="s">
        <v>66</v>
      </c>
      <c r="B175" s="50">
        <f>SUM(B156:B174)</f>
        <v>80500</v>
      </c>
      <c r="C175" s="147"/>
      <c r="D175" s="50">
        <f>SUM(D156:D174)</f>
        <v>17120</v>
      </c>
      <c r="E175" s="148"/>
      <c r="F175" s="147"/>
      <c r="G175" s="173">
        <f>SUM(G156:G174)</f>
        <v>4812.5</v>
      </c>
      <c r="H175" s="174">
        <f>SUM(H156:H174)</f>
        <v>53.472222222222221</v>
      </c>
      <c r="I175" s="172">
        <f>SUM(I156:I174)</f>
        <v>11.063218390804598</v>
      </c>
      <c r="J175" s="31"/>
      <c r="K175" s="31"/>
      <c r="L175" s="31"/>
      <c r="M175" s="31"/>
      <c r="N175" s="31"/>
      <c r="O175" s="31"/>
      <c r="P175" s="31"/>
      <c r="Q175" s="31"/>
      <c r="R175" s="31"/>
      <c r="S175" s="31"/>
      <c r="T175" s="31"/>
      <c r="U175" s="31"/>
      <c r="V175" s="31"/>
      <c r="W175" s="31"/>
      <c r="X175" s="31"/>
      <c r="Y175" s="31"/>
      <c r="Z175" s="31"/>
    </row>
    <row r="176" spans="1:26" ht="18.75" customHeight="1" x14ac:dyDescent="0.3">
      <c r="A176" s="31" t="s">
        <v>160</v>
      </c>
      <c r="B176" s="2"/>
      <c r="C176" s="2"/>
      <c r="D176" s="56" t="s">
        <v>154</v>
      </c>
      <c r="E176" s="197">
        <v>0.01</v>
      </c>
      <c r="F176" s="2"/>
      <c r="G176" s="50">
        <f>((B175+D175)/2)*E176</f>
        <v>488.1</v>
      </c>
      <c r="H176" s="51">
        <f>G176/$H$8</f>
        <v>5.4233333333333338</v>
      </c>
      <c r="I176" s="41">
        <f>G176/($I$12)</f>
        <v>1.1220689655172413</v>
      </c>
      <c r="J176" s="2"/>
      <c r="K176" s="2"/>
      <c r="L176" s="2"/>
      <c r="M176" s="2"/>
      <c r="N176" s="2"/>
      <c r="O176" s="2"/>
      <c r="P176" s="2"/>
      <c r="Q176" s="2"/>
      <c r="R176" s="2"/>
      <c r="S176" s="2"/>
      <c r="T176" s="2"/>
      <c r="U176" s="2"/>
      <c r="V176" s="2"/>
      <c r="W176" s="2"/>
      <c r="X176" s="2"/>
      <c r="Y176" s="2"/>
      <c r="Z176" s="2"/>
    </row>
    <row r="177" spans="1:26" ht="18.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75" customHeight="1" x14ac:dyDescent="0.3">
      <c r="A178" s="127" t="s">
        <v>163</v>
      </c>
      <c r="B178" s="125"/>
      <c r="C178" s="126"/>
      <c r="D178" s="126"/>
      <c r="E178" s="126"/>
      <c r="F178" s="126"/>
      <c r="G178" s="126"/>
      <c r="H178" s="126"/>
      <c r="I178" s="126"/>
      <c r="J178" s="2"/>
      <c r="K178" s="2"/>
      <c r="L178" s="2"/>
      <c r="M178" s="2"/>
      <c r="N178" s="2"/>
      <c r="O178" s="2"/>
      <c r="P178" s="2"/>
      <c r="Q178" s="2"/>
      <c r="R178" s="2"/>
      <c r="S178" s="2"/>
      <c r="T178" s="2"/>
      <c r="U178" s="2"/>
      <c r="V178" s="2"/>
      <c r="W178" s="2"/>
      <c r="X178" s="2"/>
      <c r="Y178" s="2"/>
      <c r="Z178" s="2"/>
    </row>
    <row r="179" spans="1:26" ht="56.25" customHeight="1" x14ac:dyDescent="0.3">
      <c r="A179" s="9" t="s">
        <v>44</v>
      </c>
      <c r="B179" s="104" t="s">
        <v>176</v>
      </c>
      <c r="C179" s="104" t="s">
        <v>158</v>
      </c>
      <c r="D179" s="10"/>
      <c r="E179" s="10" t="s">
        <v>80</v>
      </c>
      <c r="F179" s="10" t="s">
        <v>81</v>
      </c>
      <c r="G179" s="10" t="s">
        <v>82</v>
      </c>
      <c r="H179" s="5" t="s">
        <v>9</v>
      </c>
      <c r="I179" s="10" t="s">
        <v>10</v>
      </c>
      <c r="J179" s="8"/>
      <c r="K179" s="8"/>
      <c r="L179" s="8"/>
      <c r="M179" s="8"/>
      <c r="N179" s="8"/>
      <c r="O179" s="8"/>
      <c r="P179" s="8"/>
      <c r="Q179" s="8"/>
      <c r="R179" s="8"/>
      <c r="S179" s="8"/>
      <c r="T179" s="8"/>
      <c r="U179" s="8"/>
      <c r="V179" s="8"/>
      <c r="W179" s="8"/>
      <c r="X179" s="8"/>
      <c r="Y179" s="8"/>
      <c r="Z179" s="8"/>
    </row>
    <row r="180" spans="1:26" ht="18.75" customHeight="1" x14ac:dyDescent="0.3">
      <c r="A180" s="53" t="s">
        <v>83</v>
      </c>
      <c r="B180" s="54">
        <v>25000</v>
      </c>
      <c r="C180" s="53">
        <v>30</v>
      </c>
      <c r="D180" s="3"/>
      <c r="E180" s="16">
        <f>IFERROR(B180/C180,"")</f>
        <v>833.33333333333337</v>
      </c>
      <c r="F180" s="158">
        <v>1</v>
      </c>
      <c r="G180" s="16">
        <f>IFERROR(E180*F180,"")</f>
        <v>833.33333333333337</v>
      </c>
      <c r="H180" s="11">
        <f t="shared" ref="H180:H189" si="26">IFERROR(G180/$H$8,"")</f>
        <v>9.2592592592592595</v>
      </c>
      <c r="I180" s="12">
        <f>IFERROR(G180/$I$12,"")</f>
        <v>1.9157088122605366</v>
      </c>
      <c r="J180" s="2"/>
      <c r="K180" s="2"/>
      <c r="L180" s="2"/>
      <c r="M180" s="2"/>
      <c r="N180" s="2"/>
      <c r="O180" s="2"/>
      <c r="P180" s="2"/>
      <c r="Q180" s="2"/>
      <c r="R180" s="2"/>
      <c r="S180" s="2"/>
      <c r="T180" s="2"/>
      <c r="U180" s="2"/>
      <c r="V180" s="2"/>
      <c r="W180" s="2"/>
      <c r="X180" s="2"/>
      <c r="Y180" s="2"/>
      <c r="Z180" s="2"/>
    </row>
    <row r="181" spans="1:26" ht="18.75" customHeight="1" x14ac:dyDescent="0.3">
      <c r="A181" s="53" t="s">
        <v>84</v>
      </c>
      <c r="B181" s="54">
        <v>29000</v>
      </c>
      <c r="C181" s="53">
        <v>25</v>
      </c>
      <c r="D181" s="3"/>
      <c r="E181" s="16">
        <f t="shared" ref="E181:E189" si="27">IFERROR(B181/C181,"")</f>
        <v>1160</v>
      </c>
      <c r="F181" s="158">
        <v>1</v>
      </c>
      <c r="G181" s="16">
        <f t="shared" ref="G181:G189" si="28">IFERROR(E181*F181,"")</f>
        <v>1160</v>
      </c>
      <c r="H181" s="11">
        <f t="shared" si="26"/>
        <v>12.888888888888889</v>
      </c>
      <c r="I181" s="12">
        <f t="shared" ref="I181:I189" si="29">IFERROR(G181/$I$12,"")</f>
        <v>2.6666666666666665</v>
      </c>
      <c r="J181" s="2"/>
      <c r="K181" s="2"/>
      <c r="L181" s="2"/>
      <c r="M181" s="2"/>
      <c r="N181" s="2"/>
      <c r="O181" s="2"/>
      <c r="P181" s="2"/>
      <c r="Q181" s="2"/>
      <c r="R181" s="2"/>
      <c r="S181" s="2"/>
      <c r="T181" s="2"/>
      <c r="U181" s="2"/>
      <c r="V181" s="2"/>
      <c r="W181" s="2"/>
      <c r="X181" s="2"/>
      <c r="Y181" s="2"/>
      <c r="Z181" s="2"/>
    </row>
    <row r="182" spans="1:26" ht="18.75" customHeight="1" x14ac:dyDescent="0.3">
      <c r="A182" s="53" t="s">
        <v>85</v>
      </c>
      <c r="B182" s="54">
        <v>40000</v>
      </c>
      <c r="C182" s="53">
        <v>25</v>
      </c>
      <c r="D182" s="3"/>
      <c r="E182" s="16">
        <f t="shared" si="27"/>
        <v>1600</v>
      </c>
      <c r="F182" s="158">
        <v>0.25</v>
      </c>
      <c r="G182" s="16">
        <f t="shared" si="28"/>
        <v>400</v>
      </c>
      <c r="H182" s="11">
        <f t="shared" si="26"/>
        <v>4.4444444444444446</v>
      </c>
      <c r="I182" s="12">
        <f t="shared" si="29"/>
        <v>0.91954022988505746</v>
      </c>
      <c r="J182" s="2"/>
      <c r="K182" s="2"/>
      <c r="L182" s="2"/>
      <c r="M182" s="2"/>
      <c r="N182" s="2"/>
      <c r="O182" s="2"/>
      <c r="P182" s="2"/>
      <c r="Q182" s="2"/>
      <c r="R182" s="2"/>
      <c r="S182" s="2"/>
      <c r="T182" s="2"/>
      <c r="U182" s="2"/>
      <c r="V182" s="2"/>
      <c r="W182" s="2"/>
      <c r="X182" s="2"/>
      <c r="Y182" s="2"/>
      <c r="Z182" s="2"/>
    </row>
    <row r="183" spans="1:26" ht="18.75" customHeight="1" x14ac:dyDescent="0.3">
      <c r="A183" s="53"/>
      <c r="B183" s="54"/>
      <c r="C183" s="53"/>
      <c r="D183" s="3"/>
      <c r="E183" s="16" t="str">
        <f t="shared" si="27"/>
        <v/>
      </c>
      <c r="F183" s="158"/>
      <c r="G183" s="16" t="str">
        <f t="shared" si="28"/>
        <v/>
      </c>
      <c r="H183" s="11" t="str">
        <f t="shared" si="26"/>
        <v/>
      </c>
      <c r="I183" s="12" t="str">
        <f t="shared" si="29"/>
        <v/>
      </c>
      <c r="J183" s="2"/>
      <c r="K183" s="2"/>
      <c r="L183" s="2"/>
      <c r="M183" s="2"/>
      <c r="N183" s="2"/>
      <c r="O183" s="2"/>
      <c r="P183" s="2"/>
      <c r="Q183" s="2"/>
      <c r="R183" s="2"/>
      <c r="S183" s="2"/>
      <c r="T183" s="2"/>
      <c r="U183" s="2"/>
      <c r="V183" s="2"/>
      <c r="W183" s="2"/>
      <c r="X183" s="2"/>
      <c r="Y183" s="2"/>
      <c r="Z183" s="2"/>
    </row>
    <row r="184" spans="1:26" ht="18.75" customHeight="1" x14ac:dyDescent="0.3">
      <c r="A184" s="53"/>
      <c r="B184" s="54"/>
      <c r="C184" s="53"/>
      <c r="D184" s="3"/>
      <c r="E184" s="16" t="str">
        <f t="shared" si="27"/>
        <v/>
      </c>
      <c r="F184" s="158"/>
      <c r="G184" s="16" t="str">
        <f t="shared" si="28"/>
        <v/>
      </c>
      <c r="H184" s="11" t="str">
        <f t="shared" si="26"/>
        <v/>
      </c>
      <c r="I184" s="12" t="str">
        <f t="shared" si="29"/>
        <v/>
      </c>
      <c r="J184" s="2"/>
      <c r="K184" s="2"/>
      <c r="L184" s="2"/>
      <c r="M184" s="2"/>
      <c r="N184" s="2"/>
      <c r="O184" s="2"/>
      <c r="P184" s="2"/>
      <c r="Q184" s="2"/>
      <c r="R184" s="2"/>
      <c r="S184" s="2"/>
      <c r="T184" s="2"/>
      <c r="U184" s="2"/>
      <c r="V184" s="2"/>
      <c r="W184" s="2"/>
      <c r="X184" s="2"/>
      <c r="Y184" s="2"/>
      <c r="Z184" s="2"/>
    </row>
    <row r="185" spans="1:26" ht="18.75" customHeight="1" x14ac:dyDescent="0.3">
      <c r="A185" s="53"/>
      <c r="B185" s="54"/>
      <c r="C185" s="53"/>
      <c r="D185" s="3"/>
      <c r="E185" s="16" t="str">
        <f t="shared" si="27"/>
        <v/>
      </c>
      <c r="F185" s="158"/>
      <c r="G185" s="16" t="str">
        <f t="shared" si="28"/>
        <v/>
      </c>
      <c r="H185" s="11" t="str">
        <f t="shared" si="26"/>
        <v/>
      </c>
      <c r="I185" s="12" t="str">
        <f t="shared" si="29"/>
        <v/>
      </c>
      <c r="J185" s="2"/>
      <c r="K185" s="2"/>
      <c r="L185" s="2"/>
      <c r="M185" s="2"/>
      <c r="N185" s="2"/>
      <c r="O185" s="2"/>
      <c r="P185" s="2"/>
      <c r="Q185" s="2"/>
      <c r="R185" s="2"/>
      <c r="S185" s="2"/>
      <c r="T185" s="2"/>
      <c r="U185" s="2"/>
      <c r="V185" s="2"/>
      <c r="W185" s="2"/>
      <c r="X185" s="2"/>
      <c r="Y185" s="2"/>
      <c r="Z185" s="2"/>
    </row>
    <row r="186" spans="1:26" ht="18.75" customHeight="1" x14ac:dyDescent="0.3">
      <c r="A186" s="53"/>
      <c r="B186" s="54"/>
      <c r="C186" s="53"/>
      <c r="D186" s="3"/>
      <c r="E186" s="16" t="str">
        <f t="shared" si="27"/>
        <v/>
      </c>
      <c r="F186" s="158"/>
      <c r="G186" s="16" t="str">
        <f t="shared" si="28"/>
        <v/>
      </c>
      <c r="H186" s="11" t="str">
        <f t="shared" si="26"/>
        <v/>
      </c>
      <c r="I186" s="12" t="str">
        <f t="shared" si="29"/>
        <v/>
      </c>
      <c r="J186" s="2"/>
      <c r="K186" s="2"/>
      <c r="L186" s="2"/>
      <c r="M186" s="2"/>
      <c r="N186" s="2"/>
      <c r="O186" s="2"/>
      <c r="P186" s="2"/>
      <c r="Q186" s="2"/>
      <c r="R186" s="2"/>
      <c r="S186" s="2"/>
      <c r="T186" s="2"/>
      <c r="U186" s="2"/>
      <c r="V186" s="2"/>
      <c r="W186" s="2"/>
      <c r="X186" s="2"/>
      <c r="Y186" s="2"/>
      <c r="Z186" s="2"/>
    </row>
    <row r="187" spans="1:26" ht="18.75" customHeight="1" x14ac:dyDescent="0.3">
      <c r="A187" s="53"/>
      <c r="B187" s="54"/>
      <c r="C187" s="53"/>
      <c r="D187" s="3"/>
      <c r="E187" s="16" t="str">
        <f t="shared" si="27"/>
        <v/>
      </c>
      <c r="F187" s="158"/>
      <c r="G187" s="16" t="str">
        <f t="shared" si="28"/>
        <v/>
      </c>
      <c r="H187" s="11" t="str">
        <f t="shared" si="26"/>
        <v/>
      </c>
      <c r="I187" s="12" t="str">
        <f t="shared" si="29"/>
        <v/>
      </c>
      <c r="J187" s="2"/>
      <c r="K187" s="2"/>
      <c r="L187" s="2"/>
      <c r="M187" s="2"/>
      <c r="N187" s="2"/>
      <c r="O187" s="2"/>
      <c r="P187" s="2"/>
      <c r="Q187" s="2"/>
      <c r="R187" s="2"/>
      <c r="S187" s="2"/>
      <c r="T187" s="2"/>
      <c r="U187" s="2"/>
      <c r="V187" s="2"/>
      <c r="W187" s="2"/>
      <c r="X187" s="2"/>
      <c r="Y187" s="2"/>
      <c r="Z187" s="2"/>
    </row>
    <row r="188" spans="1:26" ht="18.75" customHeight="1" x14ac:dyDescent="0.3">
      <c r="A188" s="53"/>
      <c r="B188" s="54"/>
      <c r="C188" s="53"/>
      <c r="D188" s="60"/>
      <c r="E188" s="16" t="str">
        <f t="shared" si="27"/>
        <v/>
      </c>
      <c r="F188" s="158"/>
      <c r="G188" s="16" t="str">
        <f t="shared" si="28"/>
        <v/>
      </c>
      <c r="H188" s="11" t="str">
        <f t="shared" si="26"/>
        <v/>
      </c>
      <c r="I188" s="12" t="str">
        <f t="shared" si="29"/>
        <v/>
      </c>
      <c r="J188" s="2"/>
      <c r="K188" s="2"/>
      <c r="L188" s="2"/>
      <c r="M188" s="2"/>
      <c r="N188" s="2"/>
      <c r="O188" s="2"/>
      <c r="P188" s="2"/>
      <c r="Q188" s="2"/>
      <c r="R188" s="2"/>
      <c r="S188" s="2"/>
      <c r="T188" s="2"/>
      <c r="U188" s="2"/>
      <c r="V188" s="2"/>
      <c r="W188" s="2"/>
      <c r="X188" s="2"/>
      <c r="Y188" s="2"/>
      <c r="Z188" s="2"/>
    </row>
    <row r="189" spans="1:26" ht="18.75" customHeight="1" x14ac:dyDescent="0.3">
      <c r="A189" s="53"/>
      <c r="B189" s="64"/>
      <c r="C189" s="61"/>
      <c r="D189" s="57"/>
      <c r="E189" s="201" t="str">
        <f t="shared" si="27"/>
        <v/>
      </c>
      <c r="F189" s="158"/>
      <c r="G189" s="16" t="str">
        <f t="shared" si="28"/>
        <v/>
      </c>
      <c r="H189" s="11" t="str">
        <f t="shared" si="26"/>
        <v/>
      </c>
      <c r="I189" s="12" t="str">
        <f t="shared" si="29"/>
        <v/>
      </c>
      <c r="J189" s="2"/>
      <c r="K189" s="2"/>
      <c r="L189" s="2"/>
      <c r="M189" s="2"/>
      <c r="N189" s="2"/>
      <c r="O189" s="2"/>
      <c r="P189" s="2"/>
      <c r="Q189" s="2"/>
      <c r="R189" s="2"/>
      <c r="S189" s="2"/>
      <c r="T189" s="2"/>
      <c r="U189" s="2"/>
      <c r="V189" s="2"/>
      <c r="W189" s="2"/>
      <c r="X189" s="2"/>
      <c r="Y189" s="2"/>
      <c r="Z189" s="2"/>
    </row>
    <row r="190" spans="1:26" s="49" customFormat="1" ht="18.75" customHeight="1" x14ac:dyDescent="0.3">
      <c r="A190" s="70" t="s">
        <v>119</v>
      </c>
      <c r="B190" s="50">
        <f>SUM(B180:B189)</f>
        <v>94000</v>
      </c>
      <c r="C190" s="65"/>
      <c r="D190" s="69"/>
      <c r="E190" s="181"/>
      <c r="F190" s="66"/>
      <c r="G190" s="202">
        <f>SUM(G180:G189)</f>
        <v>2393.3333333333335</v>
      </c>
      <c r="H190" s="203">
        <f>SUM(H180:H189)</f>
        <v>26.592592592592595</v>
      </c>
      <c r="I190" s="172">
        <f>SUM(I180:I189)</f>
        <v>5.5019157088122599</v>
      </c>
      <c r="J190" s="31"/>
      <c r="K190" s="31"/>
      <c r="L190" s="31"/>
      <c r="M190" s="31"/>
      <c r="N190" s="31"/>
      <c r="O190" s="31"/>
      <c r="P190" s="31"/>
      <c r="Q190" s="31"/>
      <c r="R190" s="31"/>
      <c r="S190" s="31"/>
      <c r="T190" s="31"/>
      <c r="U190" s="31"/>
      <c r="V190" s="31"/>
      <c r="W190" s="31"/>
      <c r="X190" s="31"/>
      <c r="Y190" s="31"/>
      <c r="Z190" s="31"/>
    </row>
    <row r="191" spans="1:26" s="49" customFormat="1" ht="18.75" customHeight="1" x14ac:dyDescent="0.3">
      <c r="A191" s="31" t="s">
        <v>167</v>
      </c>
      <c r="B191" s="175"/>
      <c r="C191" s="164"/>
      <c r="D191" s="31" t="s">
        <v>168</v>
      </c>
      <c r="E191" s="197">
        <v>0.01</v>
      </c>
      <c r="F191" s="164"/>
      <c r="G191" s="50">
        <f>(B190/2)*E191</f>
        <v>470</v>
      </c>
      <c r="H191" s="51">
        <f>G191/$H$8</f>
        <v>5.2222222222222223</v>
      </c>
      <c r="I191" s="204">
        <f>G191/($I$12)</f>
        <v>1.0804597701149425</v>
      </c>
      <c r="J191" s="31"/>
      <c r="K191" s="31"/>
      <c r="L191" s="31"/>
      <c r="M191" s="31"/>
      <c r="N191" s="31"/>
      <c r="O191" s="31"/>
      <c r="P191" s="31"/>
      <c r="Q191" s="31"/>
      <c r="R191" s="31"/>
      <c r="S191" s="31"/>
      <c r="T191" s="31"/>
      <c r="U191" s="31"/>
      <c r="V191" s="31"/>
      <c r="W191" s="31"/>
      <c r="X191" s="31"/>
      <c r="Y191" s="31"/>
      <c r="Z191" s="31"/>
    </row>
    <row r="192" spans="1:26" s="49" customFormat="1" ht="18.75" customHeight="1" x14ac:dyDescent="0.3">
      <c r="A192" s="31"/>
      <c r="B192" s="175"/>
      <c r="C192" s="164"/>
      <c r="D192" s="31"/>
      <c r="E192" s="90"/>
      <c r="F192" s="164"/>
      <c r="G192" s="90"/>
      <c r="H192" s="90"/>
      <c r="I192" s="90"/>
      <c r="J192" s="31"/>
      <c r="K192" s="31"/>
      <c r="L192" s="31"/>
      <c r="M192" s="31"/>
      <c r="N192" s="31"/>
      <c r="O192" s="31"/>
      <c r="P192" s="31"/>
      <c r="Q192" s="31"/>
      <c r="R192" s="31"/>
      <c r="S192" s="31"/>
      <c r="T192" s="31"/>
      <c r="U192" s="31"/>
      <c r="V192" s="31"/>
      <c r="W192" s="31"/>
      <c r="X192" s="31"/>
      <c r="Y192" s="31"/>
      <c r="Z192" s="31"/>
    </row>
    <row r="193" spans="1:26" ht="18.75" customHeight="1" x14ac:dyDescent="0.3">
      <c r="A193" s="127" t="s">
        <v>146</v>
      </c>
      <c r="B193" s="126"/>
      <c r="C193" s="126"/>
      <c r="D193" s="126"/>
      <c r="E193" s="126"/>
      <c r="F193" s="126"/>
      <c r="G193" s="135"/>
      <c r="H193" s="135"/>
      <c r="I193" s="135"/>
      <c r="J193" s="2"/>
      <c r="K193" s="2"/>
      <c r="L193" s="2"/>
      <c r="M193" s="2"/>
      <c r="N193" s="2"/>
      <c r="O193" s="2"/>
      <c r="P193" s="2"/>
      <c r="Q193" s="2"/>
      <c r="R193" s="2"/>
      <c r="S193" s="2"/>
      <c r="T193" s="2"/>
      <c r="U193" s="2"/>
      <c r="V193" s="2"/>
      <c r="W193" s="2"/>
      <c r="X193" s="2"/>
      <c r="Y193" s="2"/>
      <c r="Z193" s="2"/>
    </row>
    <row r="194" spans="1:26" ht="37.5" customHeight="1" x14ac:dyDescent="0.3">
      <c r="A194" s="103" t="s">
        <v>44</v>
      </c>
      <c r="B194" s="2"/>
      <c r="C194" s="2"/>
      <c r="D194" s="2"/>
      <c r="E194" s="105" t="s">
        <v>135</v>
      </c>
      <c r="F194" s="106" t="s">
        <v>87</v>
      </c>
      <c r="G194" s="106" t="s">
        <v>88</v>
      </c>
      <c r="H194" s="107" t="s">
        <v>9</v>
      </c>
      <c r="I194" s="106" t="s">
        <v>10</v>
      </c>
      <c r="J194" s="2"/>
      <c r="K194" s="2"/>
      <c r="L194" s="2"/>
      <c r="M194" s="2"/>
      <c r="N194" s="2"/>
      <c r="O194" s="2"/>
      <c r="P194" s="2"/>
      <c r="Q194" s="2"/>
      <c r="R194" s="2"/>
      <c r="S194" s="2"/>
      <c r="T194" s="2"/>
      <c r="U194" s="2"/>
      <c r="V194" s="2"/>
      <c r="W194" s="2"/>
      <c r="X194" s="2"/>
      <c r="Y194" s="2"/>
      <c r="Z194" s="2"/>
    </row>
    <row r="195" spans="1:26" ht="18.75" customHeight="1" x14ac:dyDescent="0.3">
      <c r="A195" s="108" t="s">
        <v>95</v>
      </c>
      <c r="B195" s="109"/>
      <c r="C195" s="109"/>
      <c r="D195" s="110"/>
      <c r="E195" s="95">
        <v>1328</v>
      </c>
      <c r="F195" s="96">
        <v>0.5</v>
      </c>
      <c r="G195" s="111">
        <f>E195*F195</f>
        <v>664</v>
      </c>
      <c r="H195" s="112">
        <f t="shared" ref="H195:H196" si="30">IFERROR(G195/$H$8,"")</f>
        <v>7.3777777777777782</v>
      </c>
      <c r="I195" s="113">
        <f>G195/I12</f>
        <v>1.5264367816091955</v>
      </c>
      <c r="J195" s="2"/>
      <c r="K195" s="2"/>
      <c r="L195" s="2"/>
      <c r="M195" s="2"/>
      <c r="N195" s="2"/>
      <c r="O195" s="2"/>
      <c r="P195" s="2"/>
      <c r="Q195" s="2"/>
      <c r="R195" s="2"/>
      <c r="S195" s="2"/>
      <c r="T195" s="2"/>
      <c r="U195" s="2"/>
      <c r="V195" s="2"/>
      <c r="W195" s="2"/>
      <c r="X195" s="2"/>
      <c r="Y195" s="2"/>
      <c r="Z195" s="2"/>
    </row>
    <row r="196" spans="1:26" ht="18.75" customHeight="1" x14ac:dyDescent="0.3">
      <c r="A196" s="108" t="s">
        <v>96</v>
      </c>
      <c r="B196" s="109"/>
      <c r="C196" s="109"/>
      <c r="D196" s="110"/>
      <c r="E196" s="95">
        <v>2500</v>
      </c>
      <c r="F196" s="96">
        <v>0.5</v>
      </c>
      <c r="G196" s="111">
        <f>E196*F196</f>
        <v>1250</v>
      </c>
      <c r="H196" s="112">
        <f t="shared" si="30"/>
        <v>13.888888888888889</v>
      </c>
      <c r="I196" s="113">
        <f>G196/I12</f>
        <v>2.8735632183908044</v>
      </c>
      <c r="J196" s="2"/>
      <c r="K196" s="2"/>
      <c r="L196" s="2"/>
      <c r="M196" s="2"/>
      <c r="N196" s="2"/>
      <c r="O196" s="2"/>
      <c r="P196" s="2"/>
      <c r="Q196" s="2"/>
      <c r="R196" s="2"/>
      <c r="S196" s="2"/>
      <c r="T196" s="2"/>
      <c r="U196" s="2"/>
      <c r="V196" s="2"/>
      <c r="W196" s="2"/>
      <c r="X196" s="2"/>
      <c r="Y196" s="2"/>
      <c r="Z196" s="2"/>
    </row>
    <row r="197" spans="1:26" ht="18.75" customHeight="1" x14ac:dyDescent="0.3">
      <c r="A197" s="145" t="s">
        <v>147</v>
      </c>
      <c r="B197" s="101"/>
      <c r="C197" s="101"/>
      <c r="D197" s="101"/>
      <c r="E197" s="101"/>
      <c r="F197" s="102"/>
      <c r="G197" s="44">
        <f>SUM(G195:G196)</f>
        <v>1914</v>
      </c>
      <c r="H197" s="45">
        <f>SUM(H195:H196)</f>
        <v>21.266666666666666</v>
      </c>
      <c r="I197" s="46">
        <f>SUM(I195:I196)</f>
        <v>4.4000000000000004</v>
      </c>
      <c r="J197" s="2"/>
      <c r="K197" s="2"/>
      <c r="L197" s="2"/>
      <c r="M197" s="2"/>
      <c r="N197" s="2"/>
      <c r="O197" s="2"/>
      <c r="P197" s="2"/>
      <c r="Q197" s="2"/>
      <c r="R197" s="2"/>
      <c r="S197" s="2"/>
      <c r="T197" s="2"/>
      <c r="U197" s="2"/>
      <c r="V197" s="2"/>
      <c r="W197" s="2"/>
      <c r="X197" s="2"/>
      <c r="Y197" s="2"/>
      <c r="Z197" s="2"/>
    </row>
    <row r="198" spans="1:26" ht="18.75" customHeight="1" x14ac:dyDescent="0.3">
      <c r="A198" s="88" t="s">
        <v>169</v>
      </c>
      <c r="B198" s="2"/>
      <c r="C198" s="2"/>
      <c r="D198" s="31" t="s">
        <v>168</v>
      </c>
      <c r="E198" s="197">
        <v>0.01</v>
      </c>
      <c r="F198" s="2"/>
      <c r="G198" s="44">
        <f>G197*E198</f>
        <v>19.14</v>
      </c>
      <c r="H198" s="45">
        <f>H197*E198</f>
        <v>0.21266666666666667</v>
      </c>
      <c r="I198" s="46">
        <f>I197*E198</f>
        <v>4.4000000000000004E-2</v>
      </c>
      <c r="J198" s="2"/>
      <c r="K198" s="2"/>
      <c r="L198" s="2"/>
      <c r="M198" s="2"/>
      <c r="N198" s="2"/>
      <c r="O198" s="2"/>
      <c r="P198" s="2"/>
      <c r="Q198" s="2"/>
      <c r="R198" s="2"/>
      <c r="S198" s="2"/>
      <c r="T198" s="2"/>
      <c r="U198" s="2"/>
      <c r="V198" s="2"/>
      <c r="W198" s="2"/>
      <c r="X198" s="2"/>
      <c r="Y198" s="2"/>
      <c r="Z198" s="2"/>
    </row>
    <row r="199" spans="1:26" ht="18.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75" customHeight="1" x14ac:dyDescent="0.3">
      <c r="A200" s="127" t="s">
        <v>159</v>
      </c>
      <c r="B200" s="126"/>
      <c r="C200" s="126"/>
      <c r="D200" s="126"/>
      <c r="E200" s="126"/>
      <c r="F200" s="126"/>
      <c r="G200" s="126"/>
      <c r="H200" s="126"/>
      <c r="I200" s="126"/>
      <c r="J200" s="2"/>
      <c r="K200" s="2"/>
      <c r="L200" s="2"/>
      <c r="M200" s="2"/>
      <c r="N200" s="2"/>
      <c r="O200" s="2"/>
      <c r="P200" s="2"/>
      <c r="Q200" s="2"/>
      <c r="R200" s="2"/>
      <c r="S200" s="2"/>
      <c r="T200" s="2"/>
      <c r="U200" s="2"/>
      <c r="V200" s="2"/>
      <c r="W200" s="2"/>
      <c r="X200" s="2"/>
      <c r="Y200" s="2"/>
      <c r="Z200" s="2"/>
    </row>
    <row r="201" spans="1:26" ht="18.75" customHeight="1" x14ac:dyDescent="0.3">
      <c r="A201" s="56"/>
      <c r="B201" s="2"/>
      <c r="C201" s="2"/>
      <c r="D201" s="71" t="s">
        <v>173</v>
      </c>
      <c r="E201" s="71" t="s">
        <v>174</v>
      </c>
      <c r="F201" s="188" t="s">
        <v>175</v>
      </c>
      <c r="G201" s="2"/>
      <c r="H201" s="2"/>
      <c r="I201" s="2"/>
      <c r="J201" s="2"/>
      <c r="K201" s="2"/>
      <c r="L201" s="2"/>
      <c r="M201" s="2"/>
      <c r="N201" s="2"/>
      <c r="O201" s="2"/>
      <c r="P201" s="2"/>
      <c r="Q201" s="2"/>
      <c r="R201" s="2"/>
      <c r="S201" s="2"/>
      <c r="T201" s="2"/>
      <c r="U201" s="2"/>
      <c r="V201" s="2"/>
      <c r="W201" s="2"/>
      <c r="X201" s="2"/>
      <c r="Y201" s="2"/>
      <c r="Z201" s="2"/>
    </row>
    <row r="202" spans="1:26" ht="18.75" customHeight="1" x14ac:dyDescent="0.3">
      <c r="A202" s="109" t="s">
        <v>120</v>
      </c>
      <c r="B202" s="101"/>
      <c r="C202" s="102"/>
      <c r="D202" s="62">
        <v>180</v>
      </c>
      <c r="E202" s="211">
        <v>2700</v>
      </c>
      <c r="F202" s="212">
        <v>0.01</v>
      </c>
      <c r="G202" s="36">
        <f>D202*E202*F202</f>
        <v>4860</v>
      </c>
      <c r="H202" s="37">
        <f>G202/$H$8</f>
        <v>54</v>
      </c>
      <c r="I202" s="38">
        <f>G202/I12</f>
        <v>11.172413793103448</v>
      </c>
      <c r="J202" s="2"/>
      <c r="K202" s="2"/>
      <c r="L202" s="2"/>
      <c r="M202" s="2"/>
      <c r="N202" s="2"/>
      <c r="O202" s="2"/>
      <c r="P202" s="2"/>
      <c r="Q202" s="2"/>
      <c r="R202" s="2"/>
      <c r="S202" s="2"/>
      <c r="T202" s="2"/>
      <c r="U202" s="2"/>
      <c r="V202" s="2"/>
      <c r="W202" s="2"/>
      <c r="X202" s="2"/>
      <c r="Y202" s="2"/>
      <c r="Z202" s="2"/>
    </row>
    <row r="203" spans="1:26" ht="18.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75" customHeight="1" x14ac:dyDescent="0.3">
      <c r="A204" s="73" t="s">
        <v>103</v>
      </c>
      <c r="B204" s="74"/>
      <c r="C204" s="74"/>
      <c r="D204" s="74"/>
      <c r="E204" s="74"/>
      <c r="F204" s="74"/>
      <c r="G204" s="74"/>
      <c r="H204" s="74"/>
      <c r="I204" s="74"/>
      <c r="J204" s="2"/>
      <c r="K204" s="2"/>
      <c r="L204" s="2"/>
      <c r="M204" s="2"/>
      <c r="N204" s="2"/>
      <c r="O204" s="2"/>
      <c r="P204" s="2"/>
      <c r="Q204" s="2"/>
      <c r="R204" s="2"/>
      <c r="S204" s="2"/>
      <c r="T204" s="2"/>
      <c r="U204" s="2"/>
      <c r="V204" s="2"/>
      <c r="W204" s="2"/>
      <c r="X204" s="2"/>
      <c r="Y204" s="2"/>
      <c r="Z204" s="2"/>
    </row>
    <row r="205" spans="1:26" ht="18.75" customHeight="1" x14ac:dyDescent="0.3">
      <c r="A205" s="1" t="s">
        <v>106</v>
      </c>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75" customHeight="1" x14ac:dyDescent="0.3">
      <c r="A206" s="39" t="s">
        <v>107</v>
      </c>
      <c r="B206" s="19"/>
      <c r="C206" s="19"/>
      <c r="D206" s="19"/>
      <c r="E206" s="19"/>
      <c r="F206" s="40"/>
      <c r="G206" s="36">
        <f>G14+G15</f>
        <v>52080</v>
      </c>
      <c r="H206" s="37">
        <f>G206/$H$8</f>
        <v>578.66666666666663</v>
      </c>
      <c r="I206" s="38">
        <f>G206/I12</f>
        <v>119.72413793103448</v>
      </c>
      <c r="J206" s="2"/>
      <c r="K206" s="2"/>
      <c r="L206" s="2"/>
      <c r="M206" s="2"/>
      <c r="N206" s="2"/>
      <c r="O206" s="2"/>
      <c r="P206" s="2"/>
      <c r="Q206" s="2"/>
      <c r="R206" s="2"/>
      <c r="S206" s="2"/>
      <c r="T206" s="2"/>
      <c r="U206" s="2"/>
      <c r="V206" s="2"/>
      <c r="W206" s="2"/>
      <c r="X206" s="2"/>
      <c r="Y206" s="2"/>
      <c r="Z206" s="2"/>
    </row>
    <row r="207" spans="1:26" ht="18.75" customHeight="1" x14ac:dyDescent="0.3">
      <c r="A207" s="39" t="s">
        <v>108</v>
      </c>
      <c r="B207" s="19"/>
      <c r="C207" s="19"/>
      <c r="D207" s="19"/>
      <c r="E207" s="19"/>
      <c r="F207" s="40"/>
      <c r="G207" s="36">
        <f>G16+G17</f>
        <v>13700</v>
      </c>
      <c r="H207" s="37">
        <f>G207/$H$8</f>
        <v>152.22222222222223</v>
      </c>
      <c r="I207" s="38">
        <f>G207/I12</f>
        <v>31.494252873563219</v>
      </c>
      <c r="J207" s="2"/>
      <c r="K207" s="2"/>
      <c r="L207" s="2"/>
      <c r="M207" s="2"/>
      <c r="N207" s="2"/>
      <c r="O207" s="2"/>
      <c r="P207" s="2"/>
      <c r="Q207" s="2"/>
      <c r="R207" s="2"/>
      <c r="S207" s="2"/>
      <c r="T207" s="2"/>
      <c r="U207" s="2"/>
      <c r="V207" s="2"/>
      <c r="W207" s="2"/>
      <c r="X207" s="2"/>
      <c r="Y207" s="2"/>
      <c r="Z207" s="2"/>
    </row>
    <row r="208" spans="1:26" ht="18.75" customHeight="1" x14ac:dyDescent="0.3">
      <c r="A208" s="39" t="s">
        <v>121</v>
      </c>
      <c r="B208" s="19"/>
      <c r="C208" s="19"/>
      <c r="D208" s="19"/>
      <c r="E208" s="19"/>
      <c r="F208" s="40"/>
      <c r="G208" s="36">
        <f>G18</f>
        <v>0</v>
      </c>
      <c r="H208" s="37">
        <f>G208/$H$8</f>
        <v>0</v>
      </c>
      <c r="I208" s="38">
        <f>G208/I12</f>
        <v>0</v>
      </c>
      <c r="J208" s="2"/>
      <c r="K208" s="2"/>
      <c r="L208" s="2"/>
      <c r="M208" s="2"/>
      <c r="N208" s="2"/>
      <c r="O208" s="2"/>
      <c r="P208" s="2"/>
      <c r="Q208" s="2"/>
      <c r="R208" s="2"/>
      <c r="S208" s="2"/>
      <c r="T208" s="2"/>
      <c r="U208" s="2"/>
      <c r="V208" s="2"/>
      <c r="W208" s="2"/>
      <c r="X208" s="2"/>
      <c r="Y208" s="2"/>
      <c r="Z208" s="2"/>
    </row>
    <row r="209" spans="1:26" ht="18.75" customHeight="1" x14ac:dyDescent="0.3">
      <c r="A209" s="23" t="s">
        <v>16</v>
      </c>
      <c r="B209" s="24"/>
      <c r="C209" s="24"/>
      <c r="D209" s="24"/>
      <c r="E209" s="24"/>
      <c r="F209" s="25"/>
      <c r="G209" s="33">
        <f>G19</f>
        <v>65780</v>
      </c>
      <c r="H209" s="34">
        <f>H19</f>
        <v>730.88888888888891</v>
      </c>
      <c r="I209" s="35">
        <f>I19</f>
        <v>151.21839080459768</v>
      </c>
      <c r="J209" s="1"/>
      <c r="K209" s="1"/>
      <c r="L209" s="1"/>
      <c r="M209" s="1"/>
      <c r="N209" s="1"/>
      <c r="O209" s="1"/>
      <c r="P209" s="1"/>
      <c r="Q209" s="1"/>
      <c r="R209" s="1"/>
      <c r="S209" s="1"/>
      <c r="T209" s="1"/>
      <c r="U209" s="1"/>
      <c r="V209" s="1"/>
      <c r="W209" s="1"/>
      <c r="X209" s="1"/>
      <c r="Y209" s="1"/>
      <c r="Z209" s="1"/>
    </row>
    <row r="210" spans="1:26" ht="18.75" customHeight="1" x14ac:dyDescent="0.3">
      <c r="A210" s="1"/>
      <c r="B210" s="1"/>
      <c r="C210" s="1"/>
      <c r="D210" s="1"/>
      <c r="E210" s="1"/>
      <c r="F210" s="1"/>
      <c r="G210" s="32"/>
      <c r="H210" s="32"/>
      <c r="I210" s="32"/>
      <c r="J210" s="1"/>
      <c r="K210" s="1"/>
      <c r="L210" s="1"/>
      <c r="M210" s="1"/>
      <c r="N210" s="1"/>
      <c r="O210" s="1"/>
      <c r="P210" s="1"/>
      <c r="Q210" s="1"/>
      <c r="R210" s="1"/>
      <c r="S210" s="1"/>
      <c r="T210" s="1"/>
      <c r="U210" s="1"/>
      <c r="V210" s="1"/>
      <c r="W210" s="1"/>
      <c r="X210" s="1"/>
      <c r="Y210" s="1"/>
      <c r="Z210" s="1"/>
    </row>
    <row r="211" spans="1:26" ht="18.75" customHeight="1" x14ac:dyDescent="0.3">
      <c r="A211" s="31" t="s">
        <v>142</v>
      </c>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75" customHeight="1" x14ac:dyDescent="0.3">
      <c r="A212" s="26" t="s">
        <v>18</v>
      </c>
      <c r="B212" s="19"/>
      <c r="C212" s="19"/>
      <c r="D212" s="19"/>
      <c r="E212" s="19"/>
      <c r="F212" s="20"/>
      <c r="G212" s="16">
        <f>G36</f>
        <v>29330</v>
      </c>
      <c r="H212" s="11">
        <f>H36</f>
        <v>325.88888888888891</v>
      </c>
      <c r="I212" s="12">
        <f>I36</f>
        <v>67.425287356321832</v>
      </c>
      <c r="J212" s="2"/>
      <c r="K212" s="2"/>
      <c r="L212" s="2"/>
      <c r="M212" s="2"/>
      <c r="N212" s="2"/>
      <c r="O212" s="2"/>
      <c r="P212" s="2"/>
      <c r="Q212" s="2"/>
      <c r="R212" s="2"/>
      <c r="S212" s="2"/>
      <c r="T212" s="2"/>
      <c r="U212" s="2"/>
      <c r="V212" s="2"/>
      <c r="W212" s="2"/>
      <c r="X212" s="2"/>
      <c r="Y212" s="2"/>
      <c r="Z212" s="2"/>
    </row>
    <row r="213" spans="1:26" ht="18.75" customHeight="1" x14ac:dyDescent="0.3">
      <c r="A213" s="26" t="s">
        <v>30</v>
      </c>
      <c r="B213" s="19"/>
      <c r="C213" s="19"/>
      <c r="D213" s="19"/>
      <c r="E213" s="19"/>
      <c r="F213" s="20"/>
      <c r="G213" s="16">
        <f>G50</f>
        <v>5810</v>
      </c>
      <c r="H213" s="11">
        <f>H50</f>
        <v>64.555555555555557</v>
      </c>
      <c r="I213" s="12">
        <f>I50</f>
        <v>13.35632183908046</v>
      </c>
      <c r="J213" s="2"/>
      <c r="K213" s="2"/>
      <c r="L213" s="2"/>
      <c r="M213" s="2"/>
      <c r="N213" s="2"/>
      <c r="O213" s="2"/>
      <c r="P213" s="2"/>
      <c r="Q213" s="2"/>
      <c r="R213" s="2"/>
      <c r="S213" s="2"/>
      <c r="T213" s="2"/>
      <c r="U213" s="2"/>
      <c r="V213" s="2"/>
      <c r="W213" s="2"/>
      <c r="X213" s="2"/>
      <c r="Y213" s="2"/>
      <c r="Z213" s="2"/>
    </row>
    <row r="214" spans="1:26" ht="18.75" customHeight="1" x14ac:dyDescent="0.3">
      <c r="A214" s="27" t="s">
        <v>37</v>
      </c>
      <c r="B214" s="19"/>
      <c r="C214" s="19"/>
      <c r="D214" s="19"/>
      <c r="E214" s="19"/>
      <c r="F214" s="20"/>
      <c r="G214" s="16">
        <f>G59</f>
        <v>4620</v>
      </c>
      <c r="H214" s="11">
        <f>H59</f>
        <v>51.333333333333336</v>
      </c>
      <c r="I214" s="12">
        <f>I59</f>
        <v>10.620689655172415</v>
      </c>
      <c r="J214" s="2"/>
      <c r="K214" s="2"/>
      <c r="L214" s="2"/>
      <c r="M214" s="2"/>
      <c r="N214" s="2"/>
      <c r="O214" s="2"/>
      <c r="P214" s="2"/>
      <c r="Q214" s="2"/>
      <c r="R214" s="2"/>
      <c r="S214" s="2"/>
      <c r="T214" s="2"/>
      <c r="U214" s="2"/>
      <c r="V214" s="2"/>
      <c r="W214" s="2"/>
      <c r="X214" s="2"/>
      <c r="Y214" s="2"/>
      <c r="Z214" s="2"/>
    </row>
    <row r="215" spans="1:26" ht="18.75" customHeight="1" x14ac:dyDescent="0.3">
      <c r="A215" s="26" t="s">
        <v>43</v>
      </c>
      <c r="B215" s="19"/>
      <c r="C215" s="19"/>
      <c r="D215" s="19"/>
      <c r="E215" s="19"/>
      <c r="F215" s="20"/>
      <c r="G215" s="16">
        <f>G78</f>
        <v>3200</v>
      </c>
      <c r="H215" s="11">
        <f>H78</f>
        <v>35.55555555555555</v>
      </c>
      <c r="I215" s="12">
        <f>I78</f>
        <v>7.3563218390804606</v>
      </c>
      <c r="J215" s="2"/>
      <c r="K215" s="2"/>
      <c r="L215" s="2"/>
      <c r="M215" s="2"/>
      <c r="N215" s="2"/>
      <c r="O215" s="2"/>
      <c r="P215" s="2"/>
      <c r="Q215" s="2"/>
      <c r="R215" s="2"/>
      <c r="S215" s="2"/>
      <c r="T215" s="2"/>
      <c r="U215" s="2"/>
      <c r="V215" s="2"/>
      <c r="W215" s="2"/>
      <c r="X215" s="2"/>
      <c r="Y215" s="2"/>
      <c r="Z215" s="2"/>
    </row>
    <row r="216" spans="1:26" ht="18.75" customHeight="1" x14ac:dyDescent="0.3">
      <c r="A216" s="224" t="s">
        <v>53</v>
      </c>
      <c r="B216" s="213"/>
      <c r="C216" s="213"/>
      <c r="D216" s="213"/>
      <c r="E216" s="213"/>
      <c r="F216" s="214"/>
      <c r="G216" s="225">
        <f>G92</f>
        <v>2870</v>
      </c>
      <c r="H216" s="226">
        <f>H92</f>
        <v>31.888888888888893</v>
      </c>
      <c r="I216" s="227">
        <f>I92</f>
        <v>6.5977011494252871</v>
      </c>
      <c r="J216" s="2"/>
      <c r="K216" s="2"/>
      <c r="L216" s="2"/>
      <c r="M216" s="2"/>
      <c r="N216" s="2"/>
      <c r="O216" s="2"/>
      <c r="P216" s="2"/>
      <c r="Q216" s="2"/>
      <c r="R216" s="2"/>
      <c r="S216" s="2"/>
      <c r="T216" s="2"/>
      <c r="U216" s="2"/>
      <c r="V216" s="2"/>
      <c r="W216" s="2"/>
      <c r="X216" s="2"/>
      <c r="Y216" s="2"/>
      <c r="Z216" s="2"/>
    </row>
    <row r="217" spans="1:26" ht="18.75" customHeight="1" x14ac:dyDescent="0.3">
      <c r="A217" s="27" t="s">
        <v>86</v>
      </c>
      <c r="B217" s="19"/>
      <c r="C217" s="19"/>
      <c r="D217" s="19"/>
      <c r="E217" s="19"/>
      <c r="F217" s="20"/>
      <c r="G217" s="16">
        <f>G113</f>
        <v>6484.5</v>
      </c>
      <c r="H217" s="11">
        <f>H113</f>
        <v>72.05</v>
      </c>
      <c r="I217" s="12">
        <f>I113</f>
        <v>14.906896551724138</v>
      </c>
      <c r="J217" s="2"/>
      <c r="K217" s="2"/>
      <c r="L217" s="2"/>
      <c r="M217" s="2"/>
      <c r="N217" s="2"/>
      <c r="O217" s="2"/>
      <c r="P217" s="2"/>
      <c r="Q217" s="2"/>
      <c r="R217" s="2"/>
      <c r="S217" s="2"/>
      <c r="T217" s="2"/>
      <c r="U217" s="2"/>
      <c r="V217" s="2"/>
      <c r="W217" s="2"/>
      <c r="X217" s="2"/>
      <c r="Y217" s="2"/>
      <c r="Z217" s="2"/>
    </row>
    <row r="218" spans="1:26" ht="18.75" customHeight="1" x14ac:dyDescent="0.3">
      <c r="A218" s="39" t="s">
        <v>170</v>
      </c>
      <c r="B218" s="19"/>
      <c r="C218" s="19"/>
      <c r="D218" s="19"/>
      <c r="E218" s="19"/>
      <c r="F218" s="20"/>
      <c r="G218" s="16">
        <f>G117</f>
        <v>494.44499999999999</v>
      </c>
      <c r="H218" s="11">
        <f>H117</f>
        <v>5.1382777777777777</v>
      </c>
      <c r="I218" s="12">
        <f>I117</f>
        <v>1.1366551724137932</v>
      </c>
      <c r="J218" s="2"/>
      <c r="K218" s="2"/>
      <c r="L218" s="2"/>
      <c r="M218" s="2"/>
      <c r="N218" s="2"/>
      <c r="O218" s="2"/>
      <c r="P218" s="2"/>
      <c r="Q218" s="2"/>
      <c r="R218" s="2"/>
      <c r="S218" s="2"/>
      <c r="T218" s="2"/>
      <c r="U218" s="2"/>
      <c r="V218" s="2"/>
      <c r="W218" s="2"/>
      <c r="X218" s="2"/>
      <c r="Y218" s="2"/>
      <c r="Z218" s="2"/>
    </row>
    <row r="219" spans="1:26" ht="18.75" customHeight="1" x14ac:dyDescent="0.3">
      <c r="A219" s="119" t="s">
        <v>138</v>
      </c>
      <c r="B219" s="24"/>
      <c r="C219" s="24"/>
      <c r="D219" s="24"/>
      <c r="E219" s="24"/>
      <c r="F219" s="25"/>
      <c r="G219" s="13">
        <f>SUM(G212:G218)</f>
        <v>52808.945</v>
      </c>
      <c r="H219" s="14">
        <f>SUM(H212:H218)</f>
        <v>586.41050000000007</v>
      </c>
      <c r="I219" s="15">
        <f>SUM(I212:I218)</f>
        <v>121.39987356321841</v>
      </c>
      <c r="J219" s="1"/>
      <c r="K219" s="1"/>
      <c r="L219" s="1"/>
      <c r="M219" s="1"/>
      <c r="N219" s="1"/>
      <c r="O219" s="1"/>
      <c r="P219" s="1"/>
      <c r="Q219" s="1"/>
      <c r="R219" s="1"/>
      <c r="S219" s="1"/>
      <c r="T219" s="1"/>
      <c r="U219" s="1"/>
      <c r="V219" s="1"/>
      <c r="W219" s="1"/>
      <c r="X219" s="1"/>
      <c r="Y219" s="1"/>
      <c r="Z219" s="1"/>
    </row>
    <row r="220" spans="1:26" ht="18.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75" customHeight="1" x14ac:dyDescent="0.3">
      <c r="A221" s="70" t="s">
        <v>140</v>
      </c>
      <c r="B221" s="24"/>
      <c r="C221" s="24"/>
      <c r="D221" s="24"/>
      <c r="E221" s="24"/>
      <c r="F221" s="25"/>
      <c r="G221" s="75">
        <f>G209-G219</f>
        <v>12971.055</v>
      </c>
      <c r="H221" s="76">
        <f>H209-H219</f>
        <v>144.47838888888884</v>
      </c>
      <c r="I221" s="77">
        <f>I209-I219</f>
        <v>29.818517241379269</v>
      </c>
      <c r="J221" s="1"/>
      <c r="K221" s="1"/>
      <c r="L221" s="1"/>
      <c r="M221" s="1"/>
      <c r="N221" s="1"/>
      <c r="O221" s="1"/>
      <c r="P221" s="1"/>
      <c r="Q221" s="1"/>
      <c r="R221" s="1"/>
      <c r="S221" s="1"/>
      <c r="T221" s="1"/>
      <c r="U221" s="1"/>
      <c r="V221" s="1"/>
      <c r="W221" s="1"/>
      <c r="X221" s="1"/>
      <c r="Y221" s="1"/>
      <c r="Z221" s="1"/>
    </row>
    <row r="222" spans="1:26" ht="18.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75" customHeight="1" x14ac:dyDescent="0.3">
      <c r="A223" s="31" t="s">
        <v>139</v>
      </c>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75" customHeight="1" x14ac:dyDescent="0.3">
      <c r="A224" s="109" t="s">
        <v>137</v>
      </c>
      <c r="B224" s="109"/>
      <c r="C224" s="109"/>
      <c r="D224" s="109"/>
      <c r="E224" s="101"/>
      <c r="F224" s="102"/>
      <c r="G224" s="36">
        <f>G197</f>
        <v>1914</v>
      </c>
      <c r="H224" s="37">
        <f>H197</f>
        <v>21.266666666666666</v>
      </c>
      <c r="I224" s="38">
        <f>I197</f>
        <v>4.4000000000000004</v>
      </c>
      <c r="J224" s="2"/>
      <c r="K224" s="2"/>
      <c r="L224" s="2"/>
      <c r="M224" s="2"/>
      <c r="N224" s="2"/>
      <c r="O224" s="2"/>
      <c r="P224" s="2"/>
      <c r="Q224" s="2"/>
      <c r="R224" s="2"/>
      <c r="S224" s="2"/>
      <c r="T224" s="2"/>
      <c r="U224" s="2"/>
      <c r="V224" s="2"/>
      <c r="W224" s="2"/>
      <c r="X224" s="2"/>
      <c r="Y224" s="2"/>
      <c r="Z224" s="2"/>
    </row>
    <row r="225" spans="1:26" ht="18.75" customHeight="1" x14ac:dyDescent="0.3">
      <c r="A225" s="69" t="s">
        <v>136</v>
      </c>
      <c r="B225" s="101"/>
      <c r="C225" s="101"/>
      <c r="D225" s="101"/>
      <c r="E225" s="101"/>
      <c r="F225" s="102"/>
      <c r="G225" s="36">
        <f>G147</f>
        <v>2800</v>
      </c>
      <c r="H225" s="37">
        <f>H147</f>
        <v>31.111111111111111</v>
      </c>
      <c r="I225" s="38">
        <f>I147</f>
        <v>6.4367816091954024</v>
      </c>
      <c r="J225" s="2"/>
      <c r="K225" s="2"/>
      <c r="L225" s="2"/>
      <c r="M225" s="2"/>
      <c r="N225" s="2"/>
      <c r="O225" s="2"/>
      <c r="P225" s="2"/>
      <c r="Q225" s="2"/>
      <c r="R225" s="2"/>
      <c r="S225" s="2"/>
      <c r="T225" s="2"/>
      <c r="U225" s="2"/>
      <c r="V225" s="2"/>
      <c r="W225" s="2"/>
      <c r="X225" s="2"/>
      <c r="Y225" s="2"/>
      <c r="Z225" s="2"/>
    </row>
    <row r="226" spans="1:26" ht="18.75" customHeight="1" x14ac:dyDescent="0.3">
      <c r="A226" s="101" t="s">
        <v>104</v>
      </c>
      <c r="B226" s="101"/>
      <c r="C226" s="101"/>
      <c r="D226" s="101"/>
      <c r="E226" s="101"/>
      <c r="F226" s="121"/>
      <c r="G226" s="114">
        <f>G175</f>
        <v>4812.5</v>
      </c>
      <c r="H226" s="115">
        <f>H175</f>
        <v>53.472222222222221</v>
      </c>
      <c r="I226" s="116">
        <f>I175</f>
        <v>11.063218390804598</v>
      </c>
      <c r="J226" s="2"/>
      <c r="K226" s="2"/>
      <c r="L226" s="2"/>
      <c r="M226" s="2"/>
      <c r="N226" s="2"/>
      <c r="O226" s="2"/>
      <c r="P226" s="2"/>
      <c r="Q226" s="2"/>
      <c r="R226" s="2"/>
      <c r="S226" s="2"/>
      <c r="T226" s="2"/>
      <c r="U226" s="2"/>
      <c r="V226" s="2"/>
      <c r="W226" s="2"/>
      <c r="X226" s="2"/>
      <c r="Y226" s="2"/>
      <c r="Z226" s="2"/>
    </row>
    <row r="227" spans="1:26" ht="18.75" customHeight="1" x14ac:dyDescent="0.3">
      <c r="A227" s="101" t="s">
        <v>105</v>
      </c>
      <c r="B227" s="101"/>
      <c r="C227" s="101"/>
      <c r="D227" s="101"/>
      <c r="E227" s="101"/>
      <c r="F227" s="121"/>
      <c r="G227" s="16">
        <f>G190</f>
        <v>2393.3333333333335</v>
      </c>
      <c r="H227" s="11">
        <f>H190</f>
        <v>26.592592592592595</v>
      </c>
      <c r="I227" s="12">
        <f>I190</f>
        <v>5.5019157088122599</v>
      </c>
      <c r="J227" s="2"/>
      <c r="K227" s="2"/>
      <c r="L227" s="2"/>
      <c r="M227" s="2"/>
      <c r="N227" s="2"/>
      <c r="O227" s="2"/>
      <c r="P227" s="2"/>
      <c r="Q227" s="2"/>
      <c r="R227" s="2"/>
      <c r="S227" s="2"/>
      <c r="T227" s="2"/>
      <c r="U227" s="2"/>
      <c r="V227" s="2"/>
      <c r="W227" s="2"/>
      <c r="X227" s="2"/>
      <c r="Y227" s="2"/>
      <c r="Z227" s="2"/>
    </row>
    <row r="228" spans="1:26" ht="18.75" customHeight="1" x14ac:dyDescent="0.3">
      <c r="A228" s="183" t="s">
        <v>171</v>
      </c>
      <c r="B228" s="182"/>
      <c r="C228" s="182"/>
      <c r="D228" s="182"/>
      <c r="E228" s="182"/>
      <c r="F228" s="182"/>
      <c r="G228" s="16">
        <f>G130+G148+G176+G191+G198+G202</f>
        <v>6825.74</v>
      </c>
      <c r="H228" s="11">
        <f>H130+H148+H176+H191+H198+H202</f>
        <v>75.841555555555558</v>
      </c>
      <c r="I228" s="12">
        <f>I130+I148+I176+I191+I198+I202</f>
        <v>15.691356321839081</v>
      </c>
      <c r="J228" s="2"/>
      <c r="K228" s="2"/>
      <c r="L228" s="2"/>
      <c r="M228" s="2"/>
      <c r="N228" s="2"/>
      <c r="O228" s="2"/>
      <c r="P228" s="2"/>
      <c r="Q228" s="2"/>
      <c r="R228" s="2"/>
      <c r="S228" s="2"/>
      <c r="T228" s="2"/>
      <c r="U228" s="2"/>
      <c r="V228" s="2"/>
      <c r="W228" s="2"/>
      <c r="X228" s="2"/>
      <c r="Y228" s="2"/>
      <c r="Z228" s="2"/>
    </row>
    <row r="229" spans="1:26" ht="18.75" customHeight="1" x14ac:dyDescent="0.3">
      <c r="A229" s="122" t="s">
        <v>141</v>
      </c>
      <c r="B229" s="120"/>
      <c r="C229" s="120"/>
      <c r="D229" s="120"/>
      <c r="E229" s="120"/>
      <c r="F229" s="120"/>
      <c r="G229" s="13">
        <f>SUM(G224:G228)</f>
        <v>18745.573333333334</v>
      </c>
      <c r="H229" s="14">
        <f>SUM(H224:H228)</f>
        <v>208.28414814814812</v>
      </c>
      <c r="I229" s="15">
        <f>SUM(I224:I228)</f>
        <v>43.093272030651335</v>
      </c>
      <c r="J229" s="1"/>
      <c r="K229" s="1"/>
      <c r="L229" s="1"/>
      <c r="M229" s="1"/>
      <c r="N229" s="1"/>
      <c r="O229" s="1"/>
      <c r="P229" s="1"/>
      <c r="Q229" s="1"/>
      <c r="R229" s="1"/>
      <c r="S229" s="1"/>
      <c r="T229" s="1"/>
      <c r="U229" s="1"/>
      <c r="V229" s="1"/>
      <c r="W229" s="1"/>
      <c r="X229" s="1"/>
      <c r="Y229" s="1"/>
      <c r="Z229" s="1"/>
    </row>
    <row r="230" spans="1:26" ht="18.75" customHeight="1" x14ac:dyDescent="0.3">
      <c r="A230" s="31"/>
      <c r="B230" s="1"/>
      <c r="C230" s="1"/>
      <c r="D230" s="1"/>
      <c r="E230" s="1"/>
      <c r="F230" s="1"/>
      <c r="G230" s="32"/>
      <c r="H230" s="32"/>
      <c r="I230" s="32"/>
      <c r="J230" s="1"/>
      <c r="K230" s="1"/>
      <c r="L230" s="1"/>
      <c r="M230" s="1"/>
      <c r="N230" s="1"/>
      <c r="O230" s="1"/>
      <c r="P230" s="1"/>
      <c r="Q230" s="1"/>
      <c r="R230" s="1"/>
      <c r="S230" s="1"/>
      <c r="T230" s="1"/>
      <c r="U230" s="1"/>
      <c r="V230" s="1"/>
      <c r="W230" s="1"/>
      <c r="X230" s="1"/>
      <c r="Y230" s="1"/>
      <c r="Z230" s="1"/>
    </row>
    <row r="231" spans="1:26" ht="18.75" customHeight="1" x14ac:dyDescent="0.3">
      <c r="A231" s="217" t="s">
        <v>193</v>
      </c>
      <c r="B231" s="217"/>
      <c r="C231" s="217"/>
      <c r="D231" s="217"/>
      <c r="E231" s="217"/>
      <c r="F231" s="217"/>
      <c r="G231" s="218"/>
      <c r="H231" s="218"/>
      <c r="I231" s="218"/>
      <c r="J231" s="1"/>
      <c r="K231" s="1"/>
      <c r="L231" s="1"/>
      <c r="M231" s="1"/>
      <c r="N231" s="1"/>
      <c r="O231" s="1"/>
      <c r="P231" s="1"/>
      <c r="Q231" s="1"/>
      <c r="R231" s="1"/>
      <c r="S231" s="1"/>
      <c r="T231" s="1"/>
      <c r="U231" s="1"/>
      <c r="V231" s="1"/>
      <c r="W231" s="1"/>
      <c r="X231" s="1"/>
      <c r="Y231" s="1"/>
      <c r="Z231" s="1"/>
    </row>
    <row r="232" spans="1:26" ht="18.75" customHeight="1" x14ac:dyDescent="0.3">
      <c r="A232" s="101" t="s">
        <v>194</v>
      </c>
      <c r="B232" s="101"/>
      <c r="C232" s="101"/>
      <c r="D232" s="101"/>
      <c r="E232" s="101"/>
      <c r="F232" s="101"/>
      <c r="G232" s="215">
        <f>G209</f>
        <v>65780</v>
      </c>
      <c r="H232" s="37">
        <f>H209</f>
        <v>730.88888888888891</v>
      </c>
      <c r="I232" s="38">
        <f>I209</f>
        <v>151.21839080459768</v>
      </c>
      <c r="J232" s="2"/>
      <c r="K232" s="2"/>
      <c r="L232" s="2"/>
      <c r="M232" s="2"/>
      <c r="N232" s="2"/>
      <c r="O232" s="2"/>
      <c r="P232" s="2"/>
      <c r="Q232" s="2"/>
      <c r="R232" s="2"/>
      <c r="S232" s="2"/>
      <c r="T232" s="2"/>
      <c r="U232" s="2"/>
      <c r="V232" s="2"/>
      <c r="W232" s="2"/>
      <c r="X232" s="2"/>
      <c r="Y232" s="2"/>
      <c r="Z232" s="2"/>
    </row>
    <row r="233" spans="1:26" ht="18.75" customHeight="1" x14ac:dyDescent="0.3">
      <c r="A233" s="109" t="s">
        <v>195</v>
      </c>
      <c r="B233" s="101"/>
      <c r="C233" s="101"/>
      <c r="D233" s="101"/>
      <c r="E233" s="101"/>
      <c r="F233" s="101"/>
      <c r="G233" s="215">
        <f>G36</f>
        <v>29330</v>
      </c>
      <c r="H233" s="37">
        <f>H36</f>
        <v>325.88888888888891</v>
      </c>
      <c r="I233" s="38">
        <f>I36</f>
        <v>67.425287356321832</v>
      </c>
      <c r="J233" s="2"/>
      <c r="K233" s="2"/>
      <c r="L233" s="2"/>
      <c r="M233" s="2"/>
      <c r="N233" s="2"/>
      <c r="O233" s="2"/>
      <c r="P233" s="2"/>
      <c r="Q233" s="2"/>
      <c r="R233" s="2"/>
      <c r="S233" s="2"/>
      <c r="T233" s="2"/>
      <c r="U233" s="2"/>
      <c r="V233" s="2"/>
      <c r="W233" s="2"/>
      <c r="X233" s="2"/>
      <c r="Y233" s="2"/>
      <c r="Z233" s="2"/>
    </row>
    <row r="234" spans="1:26" ht="18.75" customHeight="1" x14ac:dyDescent="0.3">
      <c r="A234" s="109" t="s">
        <v>30</v>
      </c>
      <c r="B234" s="101"/>
      <c r="C234" s="101"/>
      <c r="D234" s="101"/>
      <c r="E234" s="101"/>
      <c r="F234" s="101"/>
      <c r="G234" s="215">
        <f>G50</f>
        <v>5810</v>
      </c>
      <c r="H234" s="37">
        <f>H50</f>
        <v>64.555555555555557</v>
      </c>
      <c r="I234" s="38">
        <f>I50</f>
        <v>13.35632183908046</v>
      </c>
      <c r="J234" s="2"/>
      <c r="K234" s="2"/>
      <c r="L234" s="2"/>
      <c r="M234" s="2"/>
      <c r="N234" s="2"/>
      <c r="O234" s="2"/>
      <c r="P234" s="2"/>
      <c r="Q234" s="2"/>
      <c r="R234" s="2"/>
      <c r="S234" s="2"/>
      <c r="T234" s="2"/>
      <c r="U234" s="2"/>
      <c r="V234" s="2"/>
      <c r="W234" s="2"/>
      <c r="X234" s="2"/>
      <c r="Y234" s="2"/>
      <c r="Z234" s="2"/>
    </row>
    <row r="235" spans="1:26" ht="18.75" customHeight="1" x14ac:dyDescent="0.3">
      <c r="A235" s="109" t="s">
        <v>196</v>
      </c>
      <c r="B235" s="109" t="s">
        <v>197</v>
      </c>
      <c r="C235" s="101"/>
      <c r="D235" s="101"/>
      <c r="E235" s="101"/>
      <c r="F235" s="101"/>
      <c r="G235" s="215">
        <f>G92+G202</f>
        <v>7730</v>
      </c>
      <c r="H235" s="37">
        <f>H92+H202</f>
        <v>85.888888888888886</v>
      </c>
      <c r="I235" s="38">
        <f>I92+I202</f>
        <v>17.770114942528735</v>
      </c>
      <c r="J235" s="2"/>
      <c r="K235" s="2"/>
      <c r="L235" s="2"/>
      <c r="M235" s="2"/>
      <c r="N235" s="2"/>
      <c r="O235" s="2"/>
      <c r="P235" s="2"/>
      <c r="Q235" s="2"/>
      <c r="R235" s="2"/>
      <c r="S235" s="2"/>
      <c r="T235" s="2"/>
      <c r="U235" s="2"/>
      <c r="V235" s="2"/>
      <c r="W235" s="2"/>
      <c r="X235" s="2"/>
      <c r="Y235" s="2"/>
      <c r="Z235" s="2"/>
    </row>
    <row r="236" spans="1:26" ht="18.75" customHeight="1" x14ac:dyDescent="0.3">
      <c r="A236" s="183" t="s">
        <v>198</v>
      </c>
      <c r="B236" s="183"/>
      <c r="C236" s="183"/>
      <c r="D236" s="183"/>
      <c r="E236" s="183"/>
      <c r="F236" s="183"/>
      <c r="G236" s="216">
        <f>G233+G234+G235</f>
        <v>42870</v>
      </c>
      <c r="H236" s="222">
        <f>H233+H234+H235</f>
        <v>476.33333333333337</v>
      </c>
      <c r="I236" s="223">
        <f>I233+I234+I235</f>
        <v>98.551724137931032</v>
      </c>
      <c r="J236" s="2"/>
      <c r="K236" s="2"/>
      <c r="L236" s="2"/>
      <c r="M236" s="2"/>
      <c r="N236" s="2"/>
      <c r="O236" s="2"/>
      <c r="P236" s="2"/>
      <c r="Q236" s="2"/>
      <c r="R236" s="2"/>
      <c r="S236" s="2"/>
      <c r="T236" s="2"/>
      <c r="U236" s="2"/>
      <c r="V236" s="2"/>
      <c r="W236" s="2"/>
      <c r="X236" s="2"/>
      <c r="Y236" s="2"/>
      <c r="Z236" s="2"/>
    </row>
    <row r="237" spans="1:26" ht="18.75" customHeight="1" x14ac:dyDescent="0.3">
      <c r="A237" s="122" t="s">
        <v>199</v>
      </c>
      <c r="B237" s="183"/>
      <c r="C237" s="182"/>
      <c r="D237" s="182"/>
      <c r="E237" s="182"/>
      <c r="F237" s="182"/>
      <c r="G237" s="219">
        <f>G232-G236</f>
        <v>22910</v>
      </c>
      <c r="H237" s="220">
        <f>H232-H236</f>
        <v>254.55555555555554</v>
      </c>
      <c r="I237" s="221">
        <f>I232-I236</f>
        <v>52.666666666666643</v>
      </c>
      <c r="J237" s="2"/>
      <c r="K237" s="2"/>
      <c r="L237" s="2"/>
      <c r="M237" s="2"/>
      <c r="N237" s="2"/>
      <c r="O237" s="2"/>
      <c r="P237" s="2"/>
      <c r="Q237" s="2"/>
      <c r="R237" s="2"/>
      <c r="S237" s="2"/>
      <c r="T237" s="2"/>
      <c r="U237" s="2"/>
      <c r="V237" s="2"/>
      <c r="W237" s="2"/>
      <c r="X237" s="2"/>
      <c r="Y237" s="2"/>
      <c r="Z237" s="2"/>
    </row>
    <row r="238" spans="1:26" s="49" customFormat="1" ht="18.75" customHeight="1" x14ac:dyDescent="0.3">
      <c r="A238" s="31"/>
      <c r="B238" s="31"/>
      <c r="C238" s="31"/>
      <c r="D238" s="31"/>
      <c r="E238" s="31"/>
      <c r="F238" s="31"/>
      <c r="G238" s="90"/>
      <c r="H238" s="90"/>
      <c r="I238" s="90"/>
      <c r="J238" s="31"/>
      <c r="K238" s="31"/>
      <c r="L238" s="31"/>
      <c r="M238" s="31"/>
      <c r="N238" s="31"/>
      <c r="O238" s="31"/>
      <c r="P238" s="31"/>
      <c r="Q238" s="31"/>
      <c r="R238" s="31"/>
      <c r="S238" s="31"/>
      <c r="T238" s="31"/>
      <c r="U238" s="31"/>
      <c r="V238" s="31"/>
      <c r="W238" s="31"/>
      <c r="X238" s="31"/>
      <c r="Y238" s="31"/>
      <c r="Z238" s="31"/>
    </row>
    <row r="239" spans="1:26" s="49" customFormat="1" ht="18.75" customHeight="1" x14ac:dyDescent="0.3">
      <c r="A239" s="127" t="s">
        <v>124</v>
      </c>
      <c r="B239" s="131"/>
      <c r="C239" s="131"/>
      <c r="D239" s="131"/>
      <c r="E239" s="131"/>
      <c r="F239" s="131"/>
      <c r="G239" s="149"/>
      <c r="H239" s="149"/>
      <c r="I239" s="149"/>
      <c r="J239" s="31"/>
      <c r="K239" s="31"/>
      <c r="L239" s="31"/>
      <c r="M239" s="31"/>
      <c r="N239" s="31"/>
      <c r="O239" s="31"/>
      <c r="P239" s="31"/>
      <c r="Q239" s="31"/>
      <c r="R239" s="31"/>
      <c r="S239" s="31"/>
      <c r="T239" s="31"/>
      <c r="U239" s="31"/>
      <c r="V239" s="31"/>
      <c r="W239" s="31"/>
      <c r="X239" s="31"/>
      <c r="Y239" s="31"/>
      <c r="Z239" s="31"/>
    </row>
    <row r="240" spans="1:26" s="49" customFormat="1" ht="18.75" customHeight="1" x14ac:dyDescent="0.3">
      <c r="A240" s="31"/>
      <c r="B240" s="31"/>
      <c r="C240" s="31"/>
      <c r="D240" s="31"/>
      <c r="E240" s="31"/>
      <c r="F240" s="31"/>
      <c r="G240" s="90"/>
      <c r="H240" s="90"/>
      <c r="I240" s="90"/>
      <c r="J240" s="31"/>
      <c r="K240" s="31"/>
      <c r="L240" s="31"/>
      <c r="M240" s="31"/>
      <c r="N240" s="31"/>
      <c r="O240" s="31"/>
      <c r="P240" s="31"/>
      <c r="Q240" s="31"/>
      <c r="R240" s="31"/>
      <c r="S240" s="31"/>
      <c r="T240" s="31"/>
      <c r="U240" s="31"/>
      <c r="V240" s="31"/>
      <c r="W240" s="31"/>
      <c r="X240" s="31"/>
      <c r="Y240" s="31"/>
      <c r="Z240" s="31"/>
    </row>
    <row r="241" spans="1:26" ht="18.75" customHeight="1" x14ac:dyDescent="0.3">
      <c r="A241" s="89" t="s">
        <v>123</v>
      </c>
      <c r="B241" s="74"/>
      <c r="C241" s="74"/>
      <c r="D241" s="74"/>
      <c r="E241" s="74"/>
      <c r="F241" s="74"/>
      <c r="G241" s="74"/>
      <c r="H241" s="74"/>
      <c r="I241" s="74"/>
      <c r="J241" s="2"/>
      <c r="K241" s="2"/>
      <c r="L241" s="2"/>
      <c r="M241" s="2"/>
      <c r="N241" s="2"/>
      <c r="O241" s="2"/>
      <c r="P241" s="2"/>
      <c r="Q241" s="2"/>
      <c r="R241" s="2"/>
      <c r="S241" s="2"/>
      <c r="T241" s="2"/>
      <c r="U241" s="2"/>
      <c r="V241" s="2"/>
      <c r="W241" s="2"/>
      <c r="X241" s="2"/>
      <c r="Y241" s="2"/>
      <c r="Z241" s="2"/>
    </row>
    <row r="242" spans="1:26" ht="18.75" customHeight="1" x14ac:dyDescent="0.3">
      <c r="A242" s="93" t="s">
        <v>182</v>
      </c>
      <c r="B242" s="94"/>
      <c r="C242" s="93"/>
      <c r="D242" s="93"/>
      <c r="E242" s="93"/>
      <c r="F242" s="93"/>
      <c r="G242" s="93"/>
      <c r="H242" s="93"/>
      <c r="I242" s="74"/>
      <c r="J242" s="2"/>
      <c r="K242" s="2"/>
      <c r="L242" s="2"/>
      <c r="M242" s="2"/>
      <c r="N242" s="2"/>
      <c r="O242" s="2"/>
      <c r="P242" s="2"/>
      <c r="Q242" s="2"/>
      <c r="R242" s="2"/>
      <c r="S242" s="2"/>
      <c r="T242" s="2"/>
      <c r="U242" s="2"/>
      <c r="V242" s="2"/>
      <c r="W242" s="2"/>
      <c r="X242" s="2"/>
      <c r="Y242" s="2"/>
      <c r="Z242" s="2"/>
    </row>
    <row r="243" spans="1:26" ht="18.75" customHeight="1" x14ac:dyDescent="0.3">
      <c r="A243" s="31" t="s">
        <v>125</v>
      </c>
      <c r="B243" s="1"/>
      <c r="C243" s="1"/>
      <c r="D243" s="1"/>
      <c r="E243" s="1"/>
      <c r="F243" s="1"/>
      <c r="G243" s="75">
        <f>G221-G229</f>
        <v>-5774.5183333333334</v>
      </c>
      <c r="H243" s="76">
        <f>H221-H229</f>
        <v>-63.805759259259275</v>
      </c>
      <c r="I243" s="77">
        <f>I221-I229</f>
        <v>-13.274754789272066</v>
      </c>
      <c r="J243" s="1"/>
      <c r="K243" s="1"/>
      <c r="L243" s="1"/>
      <c r="M243" s="1"/>
      <c r="N243" s="1"/>
      <c r="O243" s="1"/>
      <c r="P243" s="1"/>
      <c r="Q243" s="1"/>
      <c r="R243" s="1"/>
      <c r="S243" s="1"/>
      <c r="T243" s="1"/>
      <c r="U243" s="1"/>
      <c r="V243" s="1"/>
      <c r="W243" s="1"/>
      <c r="X243" s="1"/>
      <c r="Y243" s="1"/>
      <c r="Z243" s="1"/>
    </row>
    <row r="245" spans="1:26" ht="18.75" customHeight="1" x14ac:dyDescent="0.3">
      <c r="A245" s="31" t="s">
        <v>128</v>
      </c>
      <c r="B245" s="1"/>
      <c r="C245" s="1"/>
      <c r="D245" s="1"/>
      <c r="E245" s="1"/>
      <c r="F245" s="1"/>
      <c r="G245" s="1"/>
      <c r="H245" s="14">
        <f>H219+H229</f>
        <v>794.69464814814819</v>
      </c>
      <c r="I245" s="15">
        <f>I219+I229</f>
        <v>164.49314559386974</v>
      </c>
      <c r="J245" s="1"/>
      <c r="K245" s="1"/>
      <c r="L245" s="1"/>
      <c r="M245" s="1"/>
      <c r="N245" s="1"/>
      <c r="O245" s="1"/>
      <c r="P245" s="1"/>
      <c r="Q245" s="1"/>
      <c r="R245" s="1"/>
      <c r="S245" s="1"/>
      <c r="T245" s="1"/>
      <c r="U245" s="1"/>
      <c r="V245" s="1"/>
      <c r="W245" s="1"/>
      <c r="X245" s="1"/>
      <c r="Y245" s="1"/>
      <c r="Z245" s="1"/>
    </row>
    <row r="246" spans="1:26" ht="18.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75" customHeight="1" x14ac:dyDescent="0.3">
      <c r="A247" s="31" t="s">
        <v>126</v>
      </c>
      <c r="B247" s="2"/>
      <c r="C247" s="2"/>
      <c r="D247" s="2"/>
      <c r="E247" s="2"/>
      <c r="F247" s="2"/>
      <c r="G247" s="2"/>
      <c r="H247" s="2"/>
      <c r="I247" s="41">
        <f>(I219+I229)-(I207+I208)</f>
        <v>132.99889272030651</v>
      </c>
      <c r="J247" s="2"/>
      <c r="K247" s="2"/>
      <c r="L247" s="2"/>
      <c r="M247" s="2"/>
      <c r="N247" s="2"/>
      <c r="O247" s="2"/>
      <c r="P247" s="2"/>
      <c r="Q247" s="2"/>
      <c r="R247" s="2"/>
      <c r="S247" s="2"/>
      <c r="T247" s="2"/>
      <c r="U247" s="2"/>
      <c r="V247" s="2"/>
      <c r="W247" s="2"/>
      <c r="X247" s="2"/>
      <c r="Y247" s="2"/>
      <c r="Z247" s="2"/>
    </row>
    <row r="248" spans="1:26" ht="18.75" customHeight="1" x14ac:dyDescent="0.3">
      <c r="A248" s="89" t="s">
        <v>131</v>
      </c>
      <c r="B248" s="74"/>
      <c r="C248" s="74"/>
      <c r="D248" s="74"/>
      <c r="E248" s="74"/>
      <c r="F248" s="74"/>
      <c r="G248" s="74"/>
      <c r="H248" s="74"/>
      <c r="I248" s="74"/>
      <c r="J248" s="2"/>
      <c r="K248" s="2"/>
      <c r="L248" s="2"/>
      <c r="M248" s="2"/>
      <c r="N248" s="2"/>
      <c r="O248" s="2"/>
      <c r="P248" s="2"/>
      <c r="Q248" s="2"/>
      <c r="R248" s="2"/>
      <c r="S248" s="2"/>
      <c r="T248" s="2"/>
      <c r="U248" s="2"/>
      <c r="V248" s="2"/>
      <c r="W248" s="2"/>
      <c r="X248" s="2"/>
      <c r="Y248" s="2"/>
      <c r="Z248" s="2"/>
    </row>
    <row r="249" spans="1:26" s="49" customFormat="1" ht="18.75" customHeight="1" x14ac:dyDescent="0.3">
      <c r="A249" s="31" t="s">
        <v>118</v>
      </c>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8.75" customHeight="1" x14ac:dyDescent="0.3">
      <c r="A250" s="56"/>
      <c r="B250" s="2"/>
      <c r="C250" s="86">
        <v>-0.15</v>
      </c>
      <c r="D250" s="86">
        <v>-0.1</v>
      </c>
      <c r="E250" s="86">
        <v>-0.05</v>
      </c>
      <c r="F250" s="85"/>
      <c r="G250" s="86">
        <v>0.05</v>
      </c>
      <c r="H250" s="86">
        <v>0.1</v>
      </c>
      <c r="I250" s="86">
        <v>0.15</v>
      </c>
      <c r="J250" s="2"/>
      <c r="K250" s="2"/>
      <c r="L250" s="2"/>
      <c r="M250" s="2"/>
      <c r="N250" s="2"/>
      <c r="O250" s="2"/>
      <c r="P250" s="2"/>
      <c r="Q250" s="2"/>
      <c r="R250" s="2"/>
      <c r="S250" s="2"/>
      <c r="T250" s="2"/>
      <c r="U250" s="2"/>
      <c r="V250" s="2"/>
      <c r="W250" s="2"/>
      <c r="X250" s="2"/>
      <c r="Y250" s="2"/>
      <c r="Z250" s="2"/>
    </row>
    <row r="251" spans="1:26" ht="18.75" customHeight="1" x14ac:dyDescent="0.3">
      <c r="A251" s="2"/>
      <c r="B251" s="57"/>
      <c r="C251" s="58">
        <f>F251*(1+C250)</f>
        <v>113.04905881226054</v>
      </c>
      <c r="D251" s="58">
        <f>F251*(1+D250)</f>
        <v>119.69900344827586</v>
      </c>
      <c r="E251" s="58">
        <f>F251*(1+E250)</f>
        <v>126.34894808429118</v>
      </c>
      <c r="F251" s="59">
        <f>I247</f>
        <v>132.99889272030651</v>
      </c>
      <c r="G251" s="58">
        <f>F251*(1+G250)</f>
        <v>139.64883735632185</v>
      </c>
      <c r="H251" s="58">
        <f>F251*(1+H250)</f>
        <v>146.29878199233718</v>
      </c>
      <c r="I251" s="58">
        <f>F251*(1+I250)</f>
        <v>152.94872662835249</v>
      </c>
      <c r="J251" s="2"/>
      <c r="K251" s="2"/>
      <c r="L251" s="2"/>
      <c r="M251" s="2"/>
      <c r="N251" s="2"/>
      <c r="O251" s="2"/>
      <c r="P251" s="2"/>
      <c r="Q251" s="2"/>
      <c r="R251" s="2"/>
      <c r="S251" s="2"/>
      <c r="T251" s="2"/>
      <c r="U251" s="2"/>
      <c r="V251" s="2"/>
      <c r="W251" s="2"/>
      <c r="X251" s="2"/>
      <c r="Y251" s="2"/>
      <c r="Z251" s="2"/>
    </row>
    <row r="252" spans="1:26" ht="18.75" customHeight="1" x14ac:dyDescent="0.3">
      <c r="A252" s="87">
        <v>-0.15</v>
      </c>
      <c r="B252" s="58">
        <f>B255*(1+A252)</f>
        <v>83.768965517241369</v>
      </c>
      <c r="C252" s="81">
        <f>C251-($B$252+$I$219+$I$229)+($I$16+$I$17+$I$18+I236)</f>
        <v>-5.1670752873563117</v>
      </c>
      <c r="D252" s="81">
        <f>D251-($B$252+$I$219+$I$229)+($I$16+$I$17+$I$18+I236)</f>
        <v>1.4828693486589941</v>
      </c>
      <c r="E252" s="81">
        <f>E251-($B$252+$I$219+$I$229)+($I$16+$I$17+$I$18+I236)</f>
        <v>8.1328139846743284</v>
      </c>
      <c r="F252" s="81">
        <f>F251-($B$252+$I$219+$I$229)+($I$16+$I$17+$I$18+I236)</f>
        <v>14.782758620689663</v>
      </c>
      <c r="G252" s="81">
        <f>G251-($B$252+$I$219+$I$229)+($I$16+$I$17+$I$18+I236)</f>
        <v>21.432703256704997</v>
      </c>
      <c r="H252" s="81">
        <f>H251-($B$252+$I$219+$I$229)+($I$16+$I$17+$I$18+I236)</f>
        <v>28.082647892720331</v>
      </c>
      <c r="I252" s="81">
        <f>I251-($B$252+$I$219+$I$229)+($I$16+$I$17+$I$18+I236)</f>
        <v>34.732592528735637</v>
      </c>
      <c r="J252" s="2"/>
      <c r="K252" s="2"/>
      <c r="L252" s="2"/>
      <c r="M252" s="2"/>
      <c r="N252" s="2"/>
      <c r="O252" s="2"/>
      <c r="P252" s="2"/>
      <c r="Q252" s="2"/>
      <c r="R252" s="2"/>
      <c r="S252" s="2"/>
      <c r="T252" s="2"/>
      <c r="U252" s="2"/>
      <c r="V252" s="2"/>
      <c r="W252" s="2"/>
      <c r="X252" s="2"/>
      <c r="Y252" s="2"/>
      <c r="Z252" s="2"/>
    </row>
    <row r="253" spans="1:26" ht="18.75" customHeight="1" x14ac:dyDescent="0.3">
      <c r="A253" s="87">
        <v>-0.1</v>
      </c>
      <c r="B253" s="58">
        <f>B255*(1+A253)</f>
        <v>88.696551724137919</v>
      </c>
      <c r="C253" s="81">
        <f>C251-($B$253+$I$219+$I$229)+($I$16+$I$17+$I$18+I236)</f>
        <v>-10.094661494252904</v>
      </c>
      <c r="D253" s="81">
        <f>D251-($B$253+$I$219+$I$229)+($I$16+$I$17+$I$18+I236)</f>
        <v>-3.444716858237598</v>
      </c>
      <c r="E253" s="81">
        <f>E251-($B$253+$I$219+$I$229)+($I$16+$I$17+$I$18+I236)</f>
        <v>3.2052277777777363</v>
      </c>
      <c r="F253" s="81">
        <f>F251-($B$253+$I$219+$I$229)+($I$16+$I$17+$I$18+I236)</f>
        <v>9.8551724137930705</v>
      </c>
      <c r="G253" s="81">
        <f>G251-($B$253+$I$219+$I$229)+($I$16+$I$17+$I$18+I236)</f>
        <v>16.505117049808405</v>
      </c>
      <c r="H253" s="81">
        <f>H251-($B$253+$I$219+$I$229)+($I$16+$I$17+$I$18+I236)</f>
        <v>23.155061685823739</v>
      </c>
      <c r="I253" s="81">
        <f>I251-($B$253+$I$219+$I$229)+($I$16+$I$17+$I$18+I236)</f>
        <v>29.805006321839045</v>
      </c>
      <c r="J253" s="2"/>
      <c r="K253" s="2"/>
      <c r="L253" s="2"/>
      <c r="M253" s="2"/>
      <c r="N253" s="2"/>
      <c r="O253" s="2"/>
      <c r="P253" s="2"/>
      <c r="Q253" s="2"/>
      <c r="R253" s="2"/>
      <c r="S253" s="2"/>
      <c r="T253" s="2"/>
      <c r="U253" s="2"/>
      <c r="V253" s="2"/>
      <c r="W253" s="2"/>
      <c r="X253" s="2"/>
      <c r="Y253" s="2"/>
      <c r="Z253" s="2"/>
    </row>
    <row r="254" spans="1:26" ht="18.75" customHeight="1" x14ac:dyDescent="0.3">
      <c r="A254" s="87">
        <v>-0.05</v>
      </c>
      <c r="B254" s="58">
        <f>B255*(1+A254)</f>
        <v>93.624137931034468</v>
      </c>
      <c r="C254" s="81">
        <f>C251-($B$254+$I$219+$I$229)+($I$16+$I$17+$I$18+I236)</f>
        <v>-15.022247701149439</v>
      </c>
      <c r="D254" s="81">
        <f>D251-($B$254+$I$219+$I$229)+($I$16+$I$17+$I$18+I236)</f>
        <v>-8.3723030651341332</v>
      </c>
      <c r="E254" s="81">
        <f>E251-($B$254+$I$219+$I$229)+($I$16+$I$17+$I$18+I236)</f>
        <v>-1.722358429118799</v>
      </c>
      <c r="F254" s="81">
        <f>F251-($B$254+$I$219+$I$229)+($I$16+$I$17+$I$18+I236)</f>
        <v>4.9275862068965353</v>
      </c>
      <c r="G254" s="81">
        <f>G251-($B$254+$I$219+$I$229)+($I$16+$I$17+$I$18+I236)</f>
        <v>11.57753084291187</v>
      </c>
      <c r="H254" s="81">
        <f>H251-($B$254+$I$219+$I$229)+($I$16+$I$17+$I$18+I236)</f>
        <v>18.227475478927204</v>
      </c>
      <c r="I254" s="81">
        <f>I251-($B$254+$I$219+$I$229)+($I$16+$I$17+$I$18+I236)</f>
        <v>24.87742011494251</v>
      </c>
      <c r="J254" s="2"/>
      <c r="K254" s="2"/>
      <c r="L254" s="2"/>
      <c r="M254" s="2"/>
      <c r="N254" s="2"/>
      <c r="O254" s="2"/>
      <c r="P254" s="2"/>
      <c r="Q254" s="2"/>
      <c r="R254" s="2"/>
      <c r="S254" s="2"/>
      <c r="T254" s="2"/>
      <c r="U254" s="2"/>
      <c r="V254" s="2"/>
      <c r="W254" s="2"/>
      <c r="X254" s="2"/>
      <c r="Y254" s="2"/>
      <c r="Z254" s="2"/>
    </row>
    <row r="255" spans="1:26" ht="18.75" customHeight="1" x14ac:dyDescent="0.3">
      <c r="A255" s="84"/>
      <c r="B255" s="59">
        <f>I235+I234+I233</f>
        <v>98.551724137931018</v>
      </c>
      <c r="C255" s="81">
        <f>C251-($B$255+$I$219+$I$229)+($I$16+$I$17+$I$18+I236)</f>
        <v>-19.949833908045974</v>
      </c>
      <c r="D255" s="81">
        <f>D251-($B$255+$I$219+$I$229)+($I$16+$I$17+$I$18+I236)</f>
        <v>-13.299889272030669</v>
      </c>
      <c r="E255" s="81">
        <f>E251-($B$255+$I$219+$I$229)+($I$16+$I$17+$I$18+I236)</f>
        <v>-6.6499446360153343</v>
      </c>
      <c r="F255" s="59">
        <f>F251-($B$255+$I$219+$I$229)+($I$16+$I$17+$I$18+$I$236)</f>
        <v>0</v>
      </c>
      <c r="G255" s="81">
        <f>G251-($B$255+$I$219+$I$229)+($I$16+$I$17+$I$18+I236)</f>
        <v>6.6499446360153343</v>
      </c>
      <c r="H255" s="81">
        <f>H251-($B$255+$I$219+$I$229)+($I$16+$I$17+$I$18+I236)</f>
        <v>13.299889272030669</v>
      </c>
      <c r="I255" s="81">
        <f>I251-($B$255+$I$219+$I$229)+($I$16+$I$17+$I$18+I236)</f>
        <v>19.949833908045974</v>
      </c>
      <c r="J255" s="2"/>
      <c r="K255" s="2"/>
      <c r="L255" s="2"/>
      <c r="M255" s="2"/>
      <c r="N255" s="2"/>
      <c r="O255" s="2"/>
      <c r="P255" s="2"/>
      <c r="Q255" s="2"/>
      <c r="R255" s="2"/>
      <c r="S255" s="2"/>
      <c r="T255" s="2"/>
      <c r="U255" s="2"/>
      <c r="V255" s="2"/>
      <c r="W255" s="2"/>
      <c r="X255" s="2"/>
      <c r="Y255" s="2"/>
      <c r="Z255" s="2"/>
    </row>
    <row r="256" spans="1:26" ht="18.75" customHeight="1" x14ac:dyDescent="0.3">
      <c r="A256" s="87">
        <v>0.05</v>
      </c>
      <c r="B256" s="58">
        <f>B255*(1+A256)</f>
        <v>103.47931034482757</v>
      </c>
      <c r="C256" s="81">
        <f>C251-($B$256+$I$219+$I$229)+($I$16+$I$17+$I$18+I236)</f>
        <v>-24.87742011494251</v>
      </c>
      <c r="D256" s="81">
        <f>D251-($B$256+$I$219+$I$229)+($I$16+$I$17+$I$18+I236)</f>
        <v>-18.227475478927204</v>
      </c>
      <c r="E256" s="81">
        <f>E251-($B$256+$I$219+$I$229)+($I$16+$I$17+$I$18+I236)</f>
        <v>-11.57753084291187</v>
      </c>
      <c r="F256" s="81">
        <f>F251-($B$256+$I$219+$I$229)+($I$16+$I$17+$I$18+I236)</f>
        <v>-4.9275862068965353</v>
      </c>
      <c r="G256" s="81">
        <f>G251-($B$256+$I$219+$I$229)+($I$16+$I$17+$I$18+I236)</f>
        <v>1.722358429118799</v>
      </c>
      <c r="H256" s="81">
        <f>H251-($B$256+$I$219+$I$229)+($I$16+$I$17+$I$18+I236)</f>
        <v>8.3723030651341332</v>
      </c>
      <c r="I256" s="81">
        <f>I251-($B$256+$I$219+$I$229)+($I$16+$I$17+$I$18+I236)</f>
        <v>15.022247701149439</v>
      </c>
      <c r="J256" s="2"/>
      <c r="K256" s="2"/>
      <c r="L256" s="2"/>
      <c r="M256" s="2"/>
      <c r="N256" s="2"/>
      <c r="O256" s="2"/>
      <c r="P256" s="2"/>
      <c r="Q256" s="2"/>
      <c r="R256" s="2"/>
      <c r="S256" s="2"/>
      <c r="T256" s="2"/>
      <c r="U256" s="2"/>
      <c r="V256" s="2"/>
      <c r="W256" s="2"/>
      <c r="X256" s="2"/>
      <c r="Y256" s="2"/>
      <c r="Z256" s="2"/>
    </row>
    <row r="257" spans="1:26" ht="18.75" customHeight="1" x14ac:dyDescent="0.3">
      <c r="A257" s="87">
        <v>0.1</v>
      </c>
      <c r="B257" s="58">
        <f>B255*(1+A257)</f>
        <v>108.40689655172413</v>
      </c>
      <c r="C257" s="81">
        <f>C251-($B$257+$I$219+$I$229)+($I$16+$I$17+$I$18+I236)</f>
        <v>-29.805006321839102</v>
      </c>
      <c r="D257" s="81">
        <f>D251-($B$257+$I$219+$I$229)+($I$16+$I$17+$I$18+I236)</f>
        <v>-23.155061685823796</v>
      </c>
      <c r="E257" s="81">
        <f>E251-($B$257+$I$219+$I$229)+($I$16+$I$17+$I$18+I236)</f>
        <v>-16.505117049808462</v>
      </c>
      <c r="F257" s="81">
        <f>F251-($B$257+$I$219+$I$229)+($I$16+$I$17+$I$18+I236)</f>
        <v>-9.8551724137931274</v>
      </c>
      <c r="G257" s="81">
        <f>G251-($B$257+$I$219+$I$229)+($I$16+$I$17+$I$18+I236)</f>
        <v>-3.2052277777777931</v>
      </c>
      <c r="H257" s="81">
        <f>H251-($B$257+$I$219+$I$229)+($I$16+$I$17+$I$18+I236)</f>
        <v>3.4447168582375411</v>
      </c>
      <c r="I257" s="81">
        <f>I251-($B$257+$I$219+$I$229)+($I$16+$I$17+$I$18+I236)</f>
        <v>10.094661494252847</v>
      </c>
      <c r="J257" s="2"/>
      <c r="K257" s="2"/>
      <c r="L257" s="2"/>
      <c r="M257" s="2"/>
      <c r="N257" s="2"/>
      <c r="O257" s="2"/>
      <c r="P257" s="2"/>
      <c r="Q257" s="2"/>
      <c r="R257" s="2"/>
      <c r="S257" s="2"/>
      <c r="T257" s="2"/>
      <c r="U257" s="2"/>
      <c r="V257" s="2"/>
      <c r="W257" s="2"/>
      <c r="X257" s="2"/>
      <c r="Y257" s="2"/>
      <c r="Z257" s="2"/>
    </row>
    <row r="258" spans="1:26" ht="18.75" customHeight="1" x14ac:dyDescent="0.3">
      <c r="A258" s="87">
        <v>0.15</v>
      </c>
      <c r="B258" s="58">
        <f>B255*(1+A258)</f>
        <v>113.33448275862067</v>
      </c>
      <c r="C258" s="81">
        <f>C251-($B$258+$I$219+$I$229)+($I$16+$I$17+$I$18+I236)</f>
        <v>-34.732592528735637</v>
      </c>
      <c r="D258" s="81">
        <f>D251-($B$258+$I$219+$I$229)+($I$16+$I$17+$I$18+I236)</f>
        <v>-28.082647892720331</v>
      </c>
      <c r="E258" s="81">
        <f>E251-($B$258+$I$219+$I$229)+($I$16+$I$17+$I$18+I236)</f>
        <v>-21.432703256704997</v>
      </c>
      <c r="F258" s="81">
        <f>F251-($B$258+$I$219+$I$229)+($I$16+$I$17+$I$18+I236)</f>
        <v>-14.782758620689663</v>
      </c>
      <c r="G258" s="81">
        <f>G251-($B$258+$I$219+$I$229)+($I$16+$I$17+$I$18+I236)</f>
        <v>-8.1328139846743284</v>
      </c>
      <c r="H258" s="81">
        <f>H251-($B$258+$I$219+$I$229)+($I$16+$I$17+$I$18+I236)</f>
        <v>-1.4828693486589941</v>
      </c>
      <c r="I258" s="81">
        <f>I251-($B$258+$I$219+$I$229)+($I$16+$I$17+$I$18+I236)</f>
        <v>5.1670752873563117</v>
      </c>
      <c r="J258" s="2"/>
      <c r="K258" s="2"/>
      <c r="L258" s="2"/>
      <c r="M258" s="2"/>
      <c r="N258" s="2"/>
      <c r="O258" s="2"/>
      <c r="P258" s="2"/>
      <c r="Q258" s="2"/>
      <c r="R258" s="2"/>
      <c r="S258" s="2"/>
      <c r="T258" s="2"/>
      <c r="U258" s="2"/>
      <c r="V258" s="2"/>
      <c r="W258" s="2"/>
      <c r="X258" s="2"/>
      <c r="Y258" s="2"/>
      <c r="Z258" s="2"/>
    </row>
    <row r="259" spans="1:26" ht="18.75" customHeight="1" x14ac:dyDescent="0.3">
      <c r="A259" s="123"/>
      <c r="B259" s="90"/>
      <c r="C259" s="124"/>
      <c r="D259" s="124"/>
      <c r="E259" s="124"/>
      <c r="F259" s="124"/>
      <c r="G259" s="124"/>
      <c r="H259" s="124"/>
      <c r="I259" s="124"/>
      <c r="J259" s="2"/>
      <c r="K259" s="2"/>
      <c r="L259" s="2"/>
      <c r="M259" s="2"/>
      <c r="N259" s="2"/>
      <c r="O259" s="2"/>
      <c r="P259" s="2"/>
      <c r="Q259" s="2"/>
      <c r="R259" s="2"/>
      <c r="S259" s="2"/>
      <c r="T259" s="2"/>
      <c r="U259" s="2"/>
      <c r="V259" s="2"/>
      <c r="W259" s="2"/>
      <c r="X259" s="2"/>
      <c r="Y259" s="2"/>
      <c r="Z259" s="2"/>
    </row>
    <row r="260" spans="1:26" ht="18.75" customHeight="1" x14ac:dyDescent="0.3">
      <c r="A260" s="89" t="s">
        <v>127</v>
      </c>
      <c r="B260" s="74"/>
      <c r="C260" s="74"/>
      <c r="D260" s="74"/>
      <c r="E260" s="74"/>
      <c r="F260" s="74"/>
      <c r="G260" s="74"/>
      <c r="H260" s="74"/>
      <c r="I260" s="91"/>
      <c r="J260" s="2"/>
      <c r="K260" s="2"/>
      <c r="L260" s="2"/>
      <c r="M260" s="2"/>
      <c r="N260" s="2"/>
      <c r="O260" s="2"/>
      <c r="P260" s="2"/>
      <c r="Q260" s="2"/>
      <c r="R260" s="2"/>
      <c r="S260" s="2"/>
      <c r="T260" s="2"/>
      <c r="U260" s="2"/>
      <c r="V260" s="2"/>
      <c r="W260" s="2"/>
      <c r="X260" s="2"/>
      <c r="Y260" s="2"/>
      <c r="Z260" s="2"/>
    </row>
    <row r="261" spans="1:26" ht="22.5" customHeight="1" x14ac:dyDescent="0.3">
      <c r="A261" s="93" t="s">
        <v>184</v>
      </c>
      <c r="B261" s="92"/>
      <c r="C261" s="74"/>
      <c r="D261" s="74"/>
      <c r="E261" s="74"/>
      <c r="F261" s="74"/>
      <c r="G261" s="74"/>
      <c r="H261" s="74"/>
      <c r="I261" s="74"/>
      <c r="J261" s="2"/>
      <c r="K261" s="2"/>
      <c r="L261" s="2"/>
      <c r="M261" s="2"/>
      <c r="N261" s="2"/>
      <c r="O261" s="2"/>
      <c r="P261" s="2"/>
      <c r="Q261" s="2"/>
      <c r="R261" s="2"/>
      <c r="S261" s="2"/>
      <c r="T261" s="2"/>
      <c r="U261" s="2"/>
      <c r="V261" s="2"/>
      <c r="W261" s="2"/>
      <c r="X261" s="2"/>
      <c r="Y261" s="2"/>
      <c r="Z261" s="2"/>
    </row>
    <row r="262" spans="1:26" ht="22.5" customHeight="1" x14ac:dyDescent="0.3">
      <c r="A262" s="89" t="s">
        <v>183</v>
      </c>
      <c r="B262" s="92"/>
      <c r="C262" s="74"/>
      <c r="D262" s="74"/>
      <c r="E262" s="74"/>
      <c r="F262" s="74"/>
      <c r="G262" s="74"/>
      <c r="H262" s="74"/>
      <c r="I262" s="74"/>
      <c r="J262" s="2"/>
      <c r="K262" s="2"/>
      <c r="L262" s="2"/>
      <c r="M262" s="2"/>
      <c r="N262" s="2"/>
      <c r="O262" s="2"/>
      <c r="P262" s="2"/>
      <c r="Q262" s="2"/>
      <c r="R262" s="2"/>
      <c r="S262" s="2"/>
      <c r="T262" s="2"/>
      <c r="U262" s="2"/>
      <c r="V262" s="2"/>
      <c r="W262" s="2"/>
      <c r="X262" s="2"/>
      <c r="Y262" s="2"/>
      <c r="Z262" s="2"/>
    </row>
    <row r="263" spans="1:26" s="43" customFormat="1" ht="37.5" customHeight="1" x14ac:dyDescent="0.3">
      <c r="A263" s="47"/>
      <c r="B263" s="7"/>
      <c r="C263" s="7"/>
      <c r="D263" s="7"/>
      <c r="E263" s="52" t="s">
        <v>66</v>
      </c>
      <c r="F263" s="52" t="s">
        <v>111</v>
      </c>
      <c r="G263" s="48"/>
      <c r="H263" s="48"/>
      <c r="I263" s="48"/>
      <c r="J263" s="7"/>
      <c r="K263" s="7"/>
      <c r="L263" s="7"/>
      <c r="M263" s="7"/>
      <c r="N263" s="7"/>
      <c r="O263" s="7"/>
      <c r="P263" s="7"/>
      <c r="Q263" s="7"/>
      <c r="R263" s="7"/>
      <c r="S263" s="7"/>
      <c r="T263" s="7"/>
      <c r="U263" s="7"/>
      <c r="V263" s="7"/>
      <c r="W263" s="7"/>
      <c r="X263" s="7"/>
      <c r="Y263" s="7"/>
      <c r="Z263" s="7"/>
    </row>
    <row r="264" spans="1:26" ht="18.75" customHeight="1" x14ac:dyDescent="0.3">
      <c r="A264" s="31" t="s">
        <v>133</v>
      </c>
      <c r="B264" s="1"/>
      <c r="C264" s="1"/>
      <c r="D264" s="1"/>
      <c r="E264" s="95">
        <v>600</v>
      </c>
      <c r="F264" s="96">
        <v>0.5</v>
      </c>
      <c r="G264" s="97">
        <f>E264*(F264)</f>
        <v>300</v>
      </c>
      <c r="H264" s="98">
        <f>G264/$H$8</f>
        <v>3.3333333333333335</v>
      </c>
      <c r="I264" s="99">
        <f>G264/$I$12</f>
        <v>0.68965517241379315</v>
      </c>
      <c r="J264" s="1"/>
      <c r="K264" s="1"/>
      <c r="L264" s="1"/>
      <c r="M264" s="1"/>
      <c r="N264" s="1"/>
      <c r="O264" s="1"/>
      <c r="P264" s="1"/>
      <c r="Q264" s="1"/>
      <c r="R264" s="1"/>
      <c r="S264" s="1"/>
      <c r="T264" s="1"/>
      <c r="U264" s="1"/>
      <c r="V264" s="1"/>
      <c r="W264" s="1"/>
      <c r="X264" s="1"/>
      <c r="Y264" s="1"/>
      <c r="Z264" s="1"/>
    </row>
    <row r="265" spans="1:26" ht="18.75" customHeight="1" x14ac:dyDescent="0.3">
      <c r="A265" s="31" t="s">
        <v>134</v>
      </c>
      <c r="B265" s="1"/>
      <c r="C265" s="1"/>
      <c r="D265" s="1"/>
      <c r="E265" s="95">
        <v>12000</v>
      </c>
      <c r="F265" s="96">
        <v>0.1</v>
      </c>
      <c r="G265" s="97">
        <f>E265*(F265)</f>
        <v>1200</v>
      </c>
      <c r="H265" s="98">
        <f t="shared" ref="H265:H266" si="31">G265/$H$8</f>
        <v>13.333333333333334</v>
      </c>
      <c r="I265" s="99">
        <f t="shared" ref="I265:I266" si="32">G265/$I$12</f>
        <v>2.7586206896551726</v>
      </c>
      <c r="J265" s="1"/>
      <c r="K265" s="1"/>
      <c r="L265" s="1"/>
      <c r="M265" s="1"/>
      <c r="N265" s="1"/>
      <c r="O265" s="1"/>
      <c r="P265" s="1"/>
      <c r="Q265" s="1"/>
      <c r="R265" s="1"/>
      <c r="S265" s="1"/>
      <c r="T265" s="1"/>
      <c r="U265" s="1"/>
      <c r="V265" s="1"/>
      <c r="W265" s="1"/>
      <c r="X265" s="1"/>
      <c r="Y265" s="1"/>
      <c r="Z265" s="1"/>
    </row>
    <row r="266" spans="1:26" ht="18.75" customHeight="1" x14ac:dyDescent="0.3">
      <c r="A266" s="31" t="s">
        <v>166</v>
      </c>
      <c r="B266" s="1"/>
      <c r="C266" s="1"/>
      <c r="D266" s="1"/>
      <c r="E266" s="95">
        <v>2750</v>
      </c>
      <c r="F266" s="96">
        <v>0.2</v>
      </c>
      <c r="G266" s="97">
        <f>E266*(F266)</f>
        <v>550</v>
      </c>
      <c r="H266" s="98">
        <f t="shared" si="31"/>
        <v>6.1111111111111107</v>
      </c>
      <c r="I266" s="99">
        <f t="shared" si="32"/>
        <v>1.264367816091954</v>
      </c>
      <c r="J266" s="1"/>
      <c r="K266" s="1"/>
      <c r="L266" s="1"/>
      <c r="M266" s="1"/>
      <c r="N266" s="1"/>
      <c r="O266" s="1"/>
      <c r="P266" s="1"/>
      <c r="Q266" s="1"/>
      <c r="R266" s="1"/>
      <c r="S266" s="1"/>
      <c r="T266" s="1"/>
      <c r="U266" s="1"/>
      <c r="V266" s="1"/>
      <c r="W266" s="1"/>
      <c r="X266" s="1"/>
      <c r="Y266" s="1"/>
      <c r="Z266" s="1"/>
    </row>
    <row r="267" spans="1:26" ht="18.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s="49" customFormat="1" ht="18.75" customHeight="1" x14ac:dyDescent="0.3">
      <c r="A268" s="31" t="s">
        <v>129</v>
      </c>
      <c r="B268" s="31"/>
      <c r="C268" s="31"/>
      <c r="D268" s="31"/>
      <c r="E268" s="31"/>
      <c r="F268" s="31"/>
      <c r="G268" s="78">
        <f>G209-(G219-G218)-G224-G264-G265-G266</f>
        <v>9501.5</v>
      </c>
      <c r="H268" s="79">
        <f>H209-(H219-H218)-H224-H264-H265-H266</f>
        <v>105.57222222222225</v>
      </c>
      <c r="I268" s="80">
        <f>I209-(I219-I218)-I224-I264-I265-I266</f>
        <v>21.842528735632143</v>
      </c>
      <c r="J268" s="31"/>
      <c r="K268" s="31"/>
      <c r="L268" s="31"/>
      <c r="M268" s="31"/>
      <c r="N268" s="31"/>
      <c r="O268" s="31"/>
      <c r="P268" s="31"/>
      <c r="Q268" s="31"/>
      <c r="R268" s="31"/>
      <c r="S268" s="31"/>
      <c r="T268" s="31"/>
      <c r="U268" s="31"/>
      <c r="V268" s="31"/>
      <c r="W268" s="31"/>
      <c r="X268" s="31"/>
      <c r="Y268" s="31"/>
      <c r="Z268" s="31"/>
    </row>
    <row r="269" spans="1:26" ht="18.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75" customHeight="1" x14ac:dyDescent="0.3">
      <c r="A270" s="31" t="s">
        <v>130</v>
      </c>
      <c r="B270" s="2"/>
      <c r="C270" s="2"/>
      <c r="D270" s="2"/>
      <c r="E270" s="2"/>
      <c r="F270" s="2"/>
      <c r="G270" s="2"/>
      <c r="H270" s="51">
        <f>(H219-H218)+H264+H265+H266</f>
        <v>604.05000000000007</v>
      </c>
      <c r="I270" s="41">
        <f>(I219-I218)+I264+I265+I266</f>
        <v>124.97586206896553</v>
      </c>
      <c r="J270" s="2"/>
      <c r="K270" s="2"/>
      <c r="L270" s="2"/>
      <c r="M270" s="2"/>
      <c r="N270" s="2"/>
      <c r="O270" s="2"/>
      <c r="P270" s="2"/>
      <c r="Q270" s="2"/>
      <c r="R270" s="2"/>
      <c r="S270" s="2"/>
      <c r="T270" s="2"/>
      <c r="U270" s="2"/>
      <c r="V270" s="2"/>
      <c r="W270" s="2"/>
      <c r="X270" s="2"/>
      <c r="Y270" s="2"/>
      <c r="Z270" s="2"/>
    </row>
    <row r="271" spans="1:26" ht="18.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75" customHeight="1" x14ac:dyDescent="0.3">
      <c r="A272" s="31" t="s">
        <v>122</v>
      </c>
      <c r="B272" s="2"/>
      <c r="C272" s="2"/>
      <c r="D272" s="2"/>
      <c r="E272" s="2"/>
      <c r="F272" s="2"/>
      <c r="G272" s="2"/>
      <c r="H272" s="2"/>
      <c r="I272" s="41">
        <f>I270-I207-I208</f>
        <v>93.481609195402314</v>
      </c>
      <c r="J272" s="2"/>
      <c r="K272" s="2"/>
      <c r="L272" s="2"/>
      <c r="M272" s="2"/>
      <c r="N272" s="2"/>
      <c r="O272" s="2"/>
      <c r="P272" s="2"/>
      <c r="Q272" s="2"/>
      <c r="R272" s="2"/>
      <c r="S272" s="2"/>
      <c r="T272" s="2"/>
      <c r="U272" s="2"/>
      <c r="V272" s="2"/>
      <c r="W272" s="2"/>
      <c r="X272" s="2"/>
      <c r="Y272" s="2"/>
      <c r="Z272" s="2"/>
    </row>
    <row r="273" spans="1:26" ht="18.75" customHeight="1" x14ac:dyDescent="0.3">
      <c r="A273" s="31"/>
      <c r="B273" s="2"/>
      <c r="C273" s="2"/>
      <c r="D273" s="2"/>
      <c r="E273" s="2"/>
      <c r="F273" s="2"/>
      <c r="G273" s="2"/>
      <c r="H273" s="2"/>
      <c r="I273" s="90"/>
      <c r="J273" s="2"/>
      <c r="K273" s="2"/>
      <c r="L273" s="2"/>
      <c r="M273" s="2"/>
      <c r="N273" s="2"/>
      <c r="O273" s="2"/>
      <c r="P273" s="2"/>
      <c r="Q273" s="2"/>
      <c r="R273" s="2"/>
      <c r="S273" s="2"/>
      <c r="T273" s="2"/>
      <c r="U273" s="2"/>
      <c r="V273" s="2"/>
      <c r="W273" s="2"/>
      <c r="X273" s="2"/>
      <c r="Y273" s="2"/>
      <c r="Z273" s="2"/>
    </row>
    <row r="274" spans="1:26" ht="18.75" customHeight="1" x14ac:dyDescent="0.3">
      <c r="A274" s="89" t="s">
        <v>132</v>
      </c>
      <c r="B274" s="74"/>
      <c r="C274" s="74"/>
      <c r="D274" s="74"/>
      <c r="E274" s="74"/>
      <c r="F274" s="100"/>
      <c r="G274" s="74"/>
      <c r="H274" s="74"/>
      <c r="I274" s="74"/>
      <c r="J274" s="2"/>
      <c r="K274" s="2"/>
      <c r="L274" s="2"/>
      <c r="M274" s="2"/>
      <c r="N274" s="2"/>
      <c r="O274" s="2"/>
      <c r="P274" s="2"/>
      <c r="Q274" s="2"/>
      <c r="R274" s="2"/>
      <c r="S274" s="2"/>
      <c r="T274" s="2"/>
      <c r="U274" s="2"/>
      <c r="V274" s="2"/>
      <c r="W274" s="2"/>
      <c r="X274" s="2"/>
      <c r="Y274" s="2"/>
      <c r="Z274" s="2"/>
    </row>
    <row r="275" spans="1:26" s="49" customFormat="1" ht="18.75" customHeight="1" x14ac:dyDescent="0.3">
      <c r="A275" s="31" t="s">
        <v>118</v>
      </c>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8.75" customHeight="1" x14ac:dyDescent="0.3">
      <c r="A276" s="56"/>
      <c r="B276" s="2"/>
      <c r="C276" s="86">
        <v>-0.15</v>
      </c>
      <c r="D276" s="86">
        <v>-0.1</v>
      </c>
      <c r="E276" s="86">
        <v>-0.05</v>
      </c>
      <c r="F276" s="85"/>
      <c r="G276" s="86">
        <v>0.05</v>
      </c>
      <c r="H276" s="86">
        <v>0.1</v>
      </c>
      <c r="I276" s="86">
        <v>0.15</v>
      </c>
      <c r="J276" s="2"/>
      <c r="K276" s="2"/>
      <c r="L276" s="2"/>
      <c r="M276" s="2"/>
      <c r="N276" s="2"/>
      <c r="O276" s="2"/>
      <c r="P276" s="2"/>
      <c r="Q276" s="2"/>
      <c r="R276" s="2"/>
      <c r="S276" s="2"/>
      <c r="T276" s="2"/>
      <c r="U276" s="2"/>
      <c r="V276" s="2"/>
      <c r="W276" s="2"/>
      <c r="X276" s="2"/>
      <c r="Y276" s="2"/>
      <c r="Z276" s="2"/>
    </row>
    <row r="277" spans="1:26" ht="18.75" customHeight="1" x14ac:dyDescent="0.3">
      <c r="A277" s="2"/>
      <c r="B277" s="57"/>
      <c r="C277" s="58">
        <f>F277*(1+C276)</f>
        <v>79.459367816091969</v>
      </c>
      <c r="D277" s="58">
        <f>F277*(1+D276)</f>
        <v>84.133448275862079</v>
      </c>
      <c r="E277" s="58">
        <f>F277*(1+E276)</f>
        <v>88.807528735632189</v>
      </c>
      <c r="F277" s="59">
        <f>I272</f>
        <v>93.481609195402314</v>
      </c>
      <c r="G277" s="58">
        <f>F277*(1+G276)</f>
        <v>98.155689655172438</v>
      </c>
      <c r="H277" s="58">
        <f>F277*(1+H276)</f>
        <v>102.82977011494255</v>
      </c>
      <c r="I277" s="58">
        <f>F277*(1+I276)</f>
        <v>107.50385057471266</v>
      </c>
      <c r="J277" s="2"/>
      <c r="K277" s="2"/>
      <c r="L277" s="2"/>
      <c r="M277" s="2"/>
      <c r="N277" s="2"/>
      <c r="O277" s="2"/>
      <c r="P277" s="2"/>
      <c r="Q277" s="2"/>
      <c r="R277" s="2"/>
      <c r="S277" s="2"/>
      <c r="T277" s="2"/>
      <c r="U277" s="2"/>
      <c r="V277" s="2"/>
      <c r="W277" s="2"/>
      <c r="X277" s="2"/>
      <c r="Y277" s="2"/>
      <c r="Z277" s="2"/>
    </row>
    <row r="278" spans="1:26" ht="18.75" customHeight="1" x14ac:dyDescent="0.3">
      <c r="A278" s="87">
        <v>-0.15</v>
      </c>
      <c r="B278" s="58">
        <f>B281*(1+A278)</f>
        <v>83.768965517241369</v>
      </c>
      <c r="C278" s="81">
        <f t="shared" ref="C278:C284" si="33">$C$277-(B278+$I$264+$I$265+$I$266+$I$113+$I$78+$I$59)+($I$16+$I$17+$I$18+$I$202)</f>
        <v>0.76051724137932553</v>
      </c>
      <c r="D278" s="81">
        <f t="shared" ref="D278:D284" si="34">$D$277-(B278+$I$264+$I$265+$I$266+$I$113+$I$78+$I$59)+($I$16+$I$17+$I$18+$I$202)</f>
        <v>5.4345977011494355</v>
      </c>
      <c r="E278" s="81">
        <f t="shared" ref="E278:E284" si="35">$E$277-(B278+$I$264+$I$265+$I$266+$I$113+$I$78+$I$59)+($I$16+$I$17+$I$18+$I$202)</f>
        <v>10.108678160919546</v>
      </c>
      <c r="F278" s="81">
        <f t="shared" ref="F278:F284" si="36">$F$277-(B278+$I$264+$I$265+$I$266+$I$113+$I$78+$I$59)+($I$16+$I$17+$I$18+$I$202)</f>
        <v>14.78275862068967</v>
      </c>
      <c r="G278" s="81">
        <f t="shared" ref="G278:G284" si="37">$G$277-(B278+$I$264+$I$265+$I$266+$I$113+$I$78+$I$59)+($I$16+$I$17+$I$18+$I$202)</f>
        <v>19.456839080459794</v>
      </c>
      <c r="H278" s="81">
        <f t="shared" ref="H278:H284" si="38">$H$277-(B278+$I$264+$I$265+$I$266+$I$113+$I$78+$I$59)+($I$16+$I$17+$I$18+$I$202)</f>
        <v>24.130919540229904</v>
      </c>
      <c r="I278" s="81">
        <f t="shared" ref="I278:I284" si="39">$I$277-(B278+$I$264+$I$265+$I$266+$I$113+$I$78+$I$59)+($I$16+$I$17+$I$18+$I$202)</f>
        <v>28.805000000000014</v>
      </c>
      <c r="J278" s="2"/>
      <c r="K278" s="2"/>
      <c r="L278" s="2"/>
      <c r="M278" s="2"/>
      <c r="N278" s="2"/>
      <c r="O278" s="2"/>
      <c r="P278" s="2"/>
      <c r="Q278" s="2"/>
      <c r="R278" s="2"/>
      <c r="S278" s="2"/>
      <c r="T278" s="2"/>
      <c r="U278" s="2"/>
      <c r="V278" s="2"/>
      <c r="W278" s="2"/>
      <c r="X278" s="2"/>
      <c r="Y278" s="2"/>
      <c r="Z278" s="2"/>
    </row>
    <row r="279" spans="1:26" ht="18.75" customHeight="1" x14ac:dyDescent="0.3">
      <c r="A279" s="87">
        <v>-0.1</v>
      </c>
      <c r="B279" s="58">
        <f>B281*(1+A279)</f>
        <v>88.696551724137933</v>
      </c>
      <c r="C279" s="81">
        <f t="shared" si="33"/>
        <v>-4.1670689655172382</v>
      </c>
      <c r="D279" s="81">
        <f t="shared" si="34"/>
        <v>0.50701149425287184</v>
      </c>
      <c r="E279" s="81">
        <f t="shared" si="35"/>
        <v>5.1810919540229818</v>
      </c>
      <c r="F279" s="81">
        <f t="shared" si="36"/>
        <v>9.855172413793106</v>
      </c>
      <c r="G279" s="81">
        <f t="shared" si="37"/>
        <v>14.52925287356323</v>
      </c>
      <c r="H279" s="81">
        <f t="shared" si="38"/>
        <v>19.20333333333334</v>
      </c>
      <c r="I279" s="81">
        <f t="shared" si="39"/>
        <v>23.87741379310345</v>
      </c>
      <c r="J279" s="2"/>
      <c r="K279" s="2"/>
      <c r="L279" s="2"/>
      <c r="M279" s="2"/>
      <c r="N279" s="2"/>
      <c r="O279" s="2"/>
      <c r="P279" s="2"/>
      <c r="Q279" s="2"/>
      <c r="R279" s="2"/>
      <c r="S279" s="2"/>
      <c r="T279" s="2"/>
      <c r="U279" s="2"/>
      <c r="V279" s="2"/>
      <c r="W279" s="2"/>
      <c r="X279" s="2"/>
      <c r="Y279" s="2"/>
      <c r="Z279" s="2"/>
    </row>
    <row r="280" spans="1:26" ht="18.75" customHeight="1" x14ac:dyDescent="0.3">
      <c r="A280" s="87">
        <v>-0.05</v>
      </c>
      <c r="B280" s="58">
        <f>B281*(1+A280)</f>
        <v>93.624137931034483</v>
      </c>
      <c r="C280" s="81">
        <f t="shared" si="33"/>
        <v>-9.0946551724137734</v>
      </c>
      <c r="D280" s="81">
        <f t="shared" si="34"/>
        <v>-4.4205747126436634</v>
      </c>
      <c r="E280" s="81">
        <f t="shared" si="35"/>
        <v>0.25350574712644658</v>
      </c>
      <c r="F280" s="81">
        <f t="shared" si="36"/>
        <v>4.9275862068965708</v>
      </c>
      <c r="G280" s="81">
        <f t="shared" si="37"/>
        <v>9.601666666666695</v>
      </c>
      <c r="H280" s="81">
        <f t="shared" si="38"/>
        <v>14.275747126436805</v>
      </c>
      <c r="I280" s="81">
        <f t="shared" si="39"/>
        <v>18.949827586206915</v>
      </c>
      <c r="J280" s="2"/>
      <c r="K280" s="2"/>
      <c r="L280" s="2"/>
      <c r="M280" s="2"/>
      <c r="N280" s="2"/>
      <c r="O280" s="2"/>
      <c r="P280" s="2"/>
      <c r="Q280" s="2"/>
      <c r="R280" s="2"/>
      <c r="S280" s="2"/>
      <c r="T280" s="2"/>
      <c r="U280" s="2"/>
      <c r="V280" s="2"/>
      <c r="W280" s="2"/>
      <c r="X280" s="2"/>
      <c r="Y280" s="2"/>
      <c r="Z280" s="2"/>
    </row>
    <row r="281" spans="1:26" ht="18.75" customHeight="1" x14ac:dyDescent="0.3">
      <c r="A281" s="58"/>
      <c r="B281" s="59">
        <f>I236</f>
        <v>98.551724137931032</v>
      </c>
      <c r="C281" s="81">
        <f t="shared" si="33"/>
        <v>-14.022241379310337</v>
      </c>
      <c r="D281" s="81">
        <f t="shared" si="34"/>
        <v>-9.3481609195402271</v>
      </c>
      <c r="E281" s="81">
        <f t="shared" si="35"/>
        <v>-4.6740804597701171</v>
      </c>
      <c r="F281" s="59">
        <f t="shared" si="36"/>
        <v>0</v>
      </c>
      <c r="G281" s="81">
        <f t="shared" si="37"/>
        <v>4.6740804597701313</v>
      </c>
      <c r="H281" s="81">
        <f t="shared" si="38"/>
        <v>9.3481609195402413</v>
      </c>
      <c r="I281" s="81">
        <f t="shared" si="39"/>
        <v>14.022241379310351</v>
      </c>
      <c r="J281" s="2"/>
      <c r="K281" s="2"/>
      <c r="L281" s="2"/>
      <c r="M281" s="2"/>
      <c r="N281" s="2"/>
      <c r="O281" s="2"/>
      <c r="P281" s="2"/>
      <c r="Q281" s="2"/>
      <c r="R281" s="2"/>
      <c r="S281" s="2"/>
      <c r="T281" s="2"/>
      <c r="U281" s="2"/>
      <c r="V281" s="2"/>
      <c r="W281" s="2"/>
      <c r="X281" s="2"/>
      <c r="Y281" s="2"/>
      <c r="Z281" s="2"/>
    </row>
    <row r="282" spans="1:26" ht="18.75" customHeight="1" x14ac:dyDescent="0.3">
      <c r="A282" s="87">
        <v>0.05</v>
      </c>
      <c r="B282" s="58">
        <f>B281*(1+A282)</f>
        <v>103.47931034482758</v>
      </c>
      <c r="C282" s="81">
        <f t="shared" si="33"/>
        <v>-18.949827586206872</v>
      </c>
      <c r="D282" s="81">
        <f t="shared" si="34"/>
        <v>-14.275747126436762</v>
      </c>
      <c r="E282" s="81">
        <f t="shared" si="35"/>
        <v>-9.6016666666666524</v>
      </c>
      <c r="F282" s="81">
        <f>$F$277-(B282+$I$264+$I$265+$I$266+$I$113+$I$78+$I$59)+($I$16+$I$17+$I$18+$I$202)</f>
        <v>-4.9275862068965282</v>
      </c>
      <c r="G282" s="81">
        <f t="shared" si="37"/>
        <v>-0.25350574712640395</v>
      </c>
      <c r="H282" s="81">
        <f t="shared" si="38"/>
        <v>4.4205747126437061</v>
      </c>
      <c r="I282" s="81">
        <f t="shared" si="39"/>
        <v>9.094655172413816</v>
      </c>
      <c r="J282" s="2"/>
      <c r="K282" s="2"/>
      <c r="L282" s="2"/>
      <c r="M282" s="2"/>
      <c r="N282" s="2"/>
      <c r="O282" s="2"/>
      <c r="P282" s="2"/>
      <c r="Q282" s="2"/>
      <c r="R282" s="2"/>
      <c r="S282" s="2"/>
      <c r="T282" s="2"/>
      <c r="U282" s="2"/>
      <c r="V282" s="2"/>
      <c r="W282" s="2"/>
      <c r="X282" s="2"/>
      <c r="Y282" s="2"/>
      <c r="Z282" s="2"/>
    </row>
    <row r="283" spans="1:26" ht="18.75" customHeight="1" x14ac:dyDescent="0.3">
      <c r="A283" s="87">
        <v>0.1</v>
      </c>
      <c r="B283" s="58">
        <f>B281*(1+A283)</f>
        <v>108.40689655172415</v>
      </c>
      <c r="C283" s="81">
        <f t="shared" si="33"/>
        <v>-23.877413793103436</v>
      </c>
      <c r="D283" s="81">
        <f t="shared" si="34"/>
        <v>-19.203333333333326</v>
      </c>
      <c r="E283" s="81">
        <f t="shared" si="35"/>
        <v>-14.529252873563216</v>
      </c>
      <c r="F283" s="81">
        <f t="shared" si="36"/>
        <v>-9.8551724137930918</v>
      </c>
      <c r="G283" s="81">
        <f t="shared" si="37"/>
        <v>-5.1810919540229676</v>
      </c>
      <c r="H283" s="81">
        <f t="shared" si="38"/>
        <v>-0.50701149425285763</v>
      </c>
      <c r="I283" s="81">
        <f t="shared" si="39"/>
        <v>4.1670689655172524</v>
      </c>
      <c r="J283" s="2"/>
      <c r="K283" s="2"/>
      <c r="L283" s="2"/>
      <c r="M283" s="2"/>
      <c r="N283" s="2"/>
      <c r="O283" s="2"/>
      <c r="P283" s="2"/>
      <c r="Q283" s="2"/>
      <c r="R283" s="2"/>
      <c r="S283" s="2"/>
      <c r="T283" s="2"/>
      <c r="U283" s="2"/>
      <c r="V283" s="2"/>
      <c r="W283" s="2"/>
      <c r="X283" s="2"/>
      <c r="Y283" s="2"/>
      <c r="Z283" s="2"/>
    </row>
    <row r="284" spans="1:26" ht="18.75" customHeight="1" x14ac:dyDescent="0.3">
      <c r="A284" s="87">
        <v>0.15</v>
      </c>
      <c r="B284" s="58">
        <f>B281*(1+A284)</f>
        <v>113.33448275862068</v>
      </c>
      <c r="C284" s="81">
        <f t="shared" si="33"/>
        <v>-28.804999999999971</v>
      </c>
      <c r="D284" s="81">
        <f t="shared" si="34"/>
        <v>-24.130919540229861</v>
      </c>
      <c r="E284" s="81">
        <f t="shared" si="35"/>
        <v>-19.456839080459751</v>
      </c>
      <c r="F284" s="81">
        <f t="shared" si="36"/>
        <v>-14.782758620689627</v>
      </c>
      <c r="G284" s="81">
        <f t="shared" si="37"/>
        <v>-10.108678160919503</v>
      </c>
      <c r="H284" s="81">
        <f t="shared" si="38"/>
        <v>-5.4345977011493929</v>
      </c>
      <c r="I284" s="81">
        <f t="shared" si="39"/>
        <v>-0.76051724137928289</v>
      </c>
      <c r="J284" s="2"/>
      <c r="K284" s="2"/>
      <c r="L284" s="2"/>
      <c r="M284" s="2"/>
      <c r="N284" s="2"/>
      <c r="O284" s="2"/>
      <c r="P284" s="2"/>
      <c r="Q284" s="2"/>
      <c r="R284" s="2"/>
      <c r="S284" s="2"/>
      <c r="T284" s="2"/>
      <c r="U284" s="2"/>
      <c r="V284" s="2"/>
      <c r="W284" s="2"/>
      <c r="X284" s="2"/>
      <c r="Y284" s="2"/>
      <c r="Z284" s="2"/>
    </row>
    <row r="285" spans="1:26" ht="18.75" customHeight="1" x14ac:dyDescent="0.3">
      <c r="A285" s="123"/>
      <c r="B285" s="90"/>
      <c r="C285" s="124"/>
      <c r="D285" s="124"/>
      <c r="E285" s="124"/>
      <c r="F285" s="124"/>
      <c r="G285" s="124"/>
      <c r="H285" s="124"/>
      <c r="I285" s="124"/>
      <c r="J285" s="2"/>
      <c r="K285" s="2"/>
      <c r="L285" s="2"/>
      <c r="M285" s="2"/>
      <c r="N285" s="2"/>
      <c r="O285" s="2"/>
      <c r="P285" s="2"/>
      <c r="Q285" s="2"/>
      <c r="R285" s="2"/>
      <c r="S285" s="2"/>
      <c r="T285" s="2"/>
      <c r="U285" s="2"/>
      <c r="V285" s="2"/>
      <c r="W285" s="2"/>
      <c r="X285" s="2"/>
      <c r="Y285" s="2"/>
      <c r="Z285" s="2"/>
    </row>
    <row r="286" spans="1:26" ht="18.75" customHeight="1" x14ac:dyDescent="0.3">
      <c r="A286" s="83" t="s">
        <v>189</v>
      </c>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75" customHeight="1" x14ac:dyDescent="0.3">
      <c r="A287" s="2"/>
      <c r="B287" s="83" t="s">
        <v>190</v>
      </c>
      <c r="C287" s="156"/>
      <c r="D287" s="156"/>
      <c r="E287" s="156"/>
      <c r="F287" s="83"/>
      <c r="G287" s="83"/>
      <c r="H287" s="83"/>
      <c r="I287" s="83"/>
      <c r="J287" s="2"/>
      <c r="K287" s="2"/>
      <c r="L287" s="2"/>
      <c r="M287" s="2"/>
      <c r="N287" s="2"/>
      <c r="O287" s="2"/>
      <c r="P287" s="2"/>
      <c r="Q287" s="2"/>
      <c r="R287" s="2"/>
      <c r="S287" s="2"/>
      <c r="T287" s="2"/>
      <c r="U287" s="2"/>
      <c r="V287" s="2"/>
      <c r="W287" s="2"/>
      <c r="X287" s="2"/>
      <c r="Y287" s="2"/>
      <c r="Z287" s="2"/>
    </row>
    <row r="288" spans="1:26" ht="18.75" customHeight="1" x14ac:dyDescent="0.3">
      <c r="B288" s="83" t="s">
        <v>191</v>
      </c>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75" customHeight="1" x14ac:dyDescent="0.3">
      <c r="A289" s="2"/>
      <c r="B289" s="83" t="s">
        <v>192</v>
      </c>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75" customHeight="1" x14ac:dyDescent="0.3">
      <c r="A290" s="56" t="s">
        <v>203</v>
      </c>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7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7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7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7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7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7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8.75" customHeight="1" x14ac:dyDescent="0.3">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8.75" customHeight="1" x14ac:dyDescent="0.3">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8.75" customHeight="1" x14ac:dyDescent="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8.75" customHeight="1" x14ac:dyDescent="0.3">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8.75" customHeight="1" x14ac:dyDescent="0.3">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8.75" customHeight="1" x14ac:dyDescent="0.3">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8.75" customHeight="1" x14ac:dyDescent="0.3">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8.75" customHeight="1" x14ac:dyDescent="0.3">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8.75" customHeight="1" x14ac:dyDescent="0.3">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8.75" customHeight="1" x14ac:dyDescent="0.3">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8.75" customHeight="1" x14ac:dyDescent="0.3">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8.75" customHeight="1" x14ac:dyDescent="0.3">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8.75" customHeight="1" x14ac:dyDescent="0.3">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8.75" customHeight="1" x14ac:dyDescent="0.3">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8.75" customHeight="1" x14ac:dyDescent="0.3">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8.75" customHeight="1" x14ac:dyDescent="0.3">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8.75" customHeight="1" x14ac:dyDescent="0.3">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8.75" customHeight="1" x14ac:dyDescent="0.3">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8.75" customHeight="1" x14ac:dyDescent="0.3">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8.75" customHeight="1" x14ac:dyDescent="0.3">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8.75" customHeight="1" x14ac:dyDescent="0.3">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8.75" customHeight="1" x14ac:dyDescent="0.3">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8.75" customHeight="1" x14ac:dyDescent="0.3">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8.75" customHeight="1" x14ac:dyDescent="0.3">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8.75" customHeight="1" x14ac:dyDescent="0.3">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8.75" customHeight="1" x14ac:dyDescent="0.3">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8.75" customHeight="1" x14ac:dyDescent="0.3">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8.75" customHeight="1" x14ac:dyDescent="0.3">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8.75" customHeight="1" x14ac:dyDescent="0.3">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8.75" customHeight="1" x14ac:dyDescent="0.3">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8.75" customHeight="1" x14ac:dyDescent="0.3">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8.75" customHeight="1" x14ac:dyDescent="0.3">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8.75" customHeight="1" x14ac:dyDescent="0.3">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8.75" customHeight="1" x14ac:dyDescent="0.3">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8.75" customHeight="1" x14ac:dyDescent="0.3">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8.75" customHeight="1" x14ac:dyDescent="0.3">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8.75" customHeight="1" x14ac:dyDescent="0.3">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8.75" customHeight="1" x14ac:dyDescent="0.3">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8.75" customHeight="1" x14ac:dyDescent="0.3">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8.75" customHeight="1" x14ac:dyDescent="0.3">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8.75" customHeight="1" x14ac:dyDescent="0.3">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8.75" customHeight="1" x14ac:dyDescent="0.3">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8.75" customHeight="1" x14ac:dyDescent="0.3">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8.75" customHeight="1" x14ac:dyDescent="0.3">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8.75" customHeight="1" x14ac:dyDescent="0.3">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8.75" customHeight="1" x14ac:dyDescent="0.3">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8.75" customHeight="1" x14ac:dyDescent="0.3">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8.75" customHeight="1" x14ac:dyDescent="0.3">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spans="1:26" ht="18.75" customHeight="1" x14ac:dyDescent="0.3">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row>
    <row r="1050" spans="1:26" ht="18.75" customHeight="1" x14ac:dyDescent="0.3">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row>
    <row r="1051" spans="1:26" ht="18.75" customHeight="1" x14ac:dyDescent="0.3">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row>
    <row r="1052" spans="1:26" ht="18.75" customHeight="1" x14ac:dyDescent="0.3">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row>
    <row r="1053" spans="1:26" ht="18.75" customHeight="1" x14ac:dyDescent="0.3">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row>
    <row r="1054" spans="1:26" ht="18.75" customHeight="1" x14ac:dyDescent="0.3">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row>
    <row r="1055" spans="1:26" ht="18.75" customHeight="1" x14ac:dyDescent="0.3">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row>
    <row r="1056" spans="1:26" ht="18.75" customHeight="1" x14ac:dyDescent="0.3">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row>
    <row r="1057" spans="1:26" ht="18.75" customHeight="1" x14ac:dyDescent="0.3">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row>
    <row r="1058" spans="1:26" ht="18.75" customHeight="1" x14ac:dyDescent="0.3">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row>
    <row r="1059" spans="1:26" ht="18.75" customHeight="1" x14ac:dyDescent="0.3">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row>
    <row r="1060" spans="1:26" ht="18.75" customHeight="1" x14ac:dyDescent="0.3">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row>
    <row r="1061" spans="1:26" ht="18.75" customHeight="1" x14ac:dyDescent="0.3">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row>
    <row r="1062" spans="1:26" ht="18.75" customHeight="1" x14ac:dyDescent="0.3">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row>
    <row r="1063" spans="1:26" ht="18.75" customHeight="1" x14ac:dyDescent="0.3">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row>
    <row r="1064" spans="1:26" ht="18.75" customHeight="1" x14ac:dyDescent="0.3">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row>
    <row r="1065" spans="1:26" ht="18.75" customHeight="1" x14ac:dyDescent="0.3">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row>
    <row r="1066" spans="1:26" ht="18.75" customHeight="1" x14ac:dyDescent="0.3">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row>
    <row r="1067" spans="1:26" ht="18.75" customHeight="1" x14ac:dyDescent="0.3">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row>
    <row r="1068" spans="1:26" ht="18.75" customHeight="1" x14ac:dyDescent="0.3">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row>
    <row r="1069" spans="1:26" ht="18.75" customHeight="1" x14ac:dyDescent="0.3">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row>
    <row r="1070" spans="1:26" ht="18.75" customHeight="1" x14ac:dyDescent="0.3">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row>
    <row r="1071" spans="1:26" ht="18.75" customHeight="1" x14ac:dyDescent="0.3">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row>
    <row r="1072" spans="1:26" ht="18.75" customHeight="1" x14ac:dyDescent="0.3">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row>
    <row r="1073" spans="1:26" ht="18.75" customHeight="1" x14ac:dyDescent="0.3">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row>
    <row r="1074" spans="1:26" ht="18.75" customHeight="1" x14ac:dyDescent="0.3">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row>
    <row r="1075" spans="1:26" ht="18.75" customHeight="1" x14ac:dyDescent="0.3">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row>
  </sheetData>
  <sheetProtection algorithmName="SHA-512" hashValue="JQ5+KTBsQroCWcLZ0BQD7VCV5fKO7yGTFuUN+Rd+fxoO/1Jay0wr1zeKDBmzfRUYoetfUJPat31H7oY/+liyRQ==" saltValue="V8qXC+WqghP8AzYAgHX9qg==" spinCount="100000" sheet="1" objects="1" scenarios="1"/>
  <pageMargins left="0.7" right="0.7" top="0.75" bottom="0.75" header="0.3" footer="0.3"/>
  <pageSetup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Directions</vt:lpstr>
      <vt:lpstr>Cow-Calf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dc:creator>
  <cp:lastModifiedBy>WILLIAM HALFMAN</cp:lastModifiedBy>
  <cp:lastPrinted>2021-02-15T21:24:49Z</cp:lastPrinted>
  <dcterms:created xsi:type="dcterms:W3CDTF">2016-09-20T17:12:57Z</dcterms:created>
  <dcterms:modified xsi:type="dcterms:W3CDTF">2025-01-15T15:59:20Z</dcterms:modified>
</cp:coreProperties>
</file>