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C:\Users\whalfman\Downloads\"/>
    </mc:Choice>
  </mc:AlternateContent>
  <xr:revisionPtr revIDLastSave="0" documentId="8_{EB48D67C-56CB-4D90-9BA6-A6788B02AE00}" xr6:coauthVersionLast="47" xr6:coauthVersionMax="47" xr10:uidLastSave="{00000000-0000-0000-0000-000000000000}"/>
  <bookViews>
    <workbookView xWindow="28680" yWindow="-120" windowWidth="29040" windowHeight="15720" xr2:uid="{00000000-000D-0000-FFFF-FFFF00000000}"/>
  </bookViews>
  <sheets>
    <sheet name="Ewe Flock Budget Directions" sheetId="3" r:id="rId1"/>
    <sheet name="Ewe Flock Budget" sheetId="2" r:id="rId2"/>
    <sheet name="DrylotLamb Finishing Directions" sheetId="4" r:id="rId3"/>
    <sheet name="Drylot Lamb Finishing Budget" sheetId="5" r:id="rId4"/>
    <sheet name="Drylot Lamb Finishing Feed Cost" sheetId="6" r:id="rId5"/>
    <sheet name="Pasture Lamb Finishing Directio" sheetId="10" r:id="rId6"/>
    <sheet name="Pasture Lamb Finishing Budget" sheetId="7" r:id="rId7"/>
    <sheet name="Pasture Lamb Finish Feed Cost" sheetId="9" r:id="rId8"/>
  </sheets>
  <definedNames>
    <definedName name="_xlnm.Print_Area" localSheetId="3">'Drylot Lamb Finishing Budget'!$A$1:$J$78</definedName>
    <definedName name="_xlnm.Print_Area" localSheetId="6">'Pasture Lamb Finishing Budget'!$A$1:$J$99</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31" i="2" l="1"/>
  <c r="G9" i="6"/>
  <c r="E9" i="6"/>
  <c r="F9" i="6" s="1"/>
  <c r="L74" i="7" l="1"/>
  <c r="S111" i="7" l="1"/>
  <c r="S110" i="7"/>
  <c r="S109" i="7"/>
  <c r="S108" i="7"/>
  <c r="S107" i="7"/>
  <c r="S106" i="7"/>
  <c r="S105" i="7"/>
  <c r="R111" i="7"/>
  <c r="R110" i="7"/>
  <c r="R109" i="7"/>
  <c r="R108" i="7"/>
  <c r="R107" i="7"/>
  <c r="R106" i="7"/>
  <c r="R105" i="7"/>
  <c r="Q111" i="7"/>
  <c r="Q110" i="7"/>
  <c r="Q109" i="7"/>
  <c r="Q108" i="7"/>
  <c r="Q107" i="7"/>
  <c r="Q106" i="7"/>
  <c r="Q105" i="7"/>
  <c r="M111" i="7"/>
  <c r="M110" i="7"/>
  <c r="M109" i="7"/>
  <c r="M108" i="7"/>
  <c r="M107" i="7"/>
  <c r="M106" i="7"/>
  <c r="M105" i="7"/>
  <c r="N111" i="7"/>
  <c r="N110" i="7"/>
  <c r="N109" i="7"/>
  <c r="N108" i="7"/>
  <c r="N107" i="7"/>
  <c r="N106" i="7"/>
  <c r="N105" i="7"/>
  <c r="O111" i="7"/>
  <c r="O110" i="7"/>
  <c r="O109" i="7"/>
  <c r="O108" i="7"/>
  <c r="O107" i="7"/>
  <c r="O106" i="7"/>
  <c r="O105" i="7"/>
  <c r="P111" i="7"/>
  <c r="P110" i="7"/>
  <c r="P109" i="7"/>
  <c r="P107" i="7"/>
  <c r="P106" i="7"/>
  <c r="P105" i="7"/>
  <c r="P108" i="7"/>
  <c r="P104" i="7"/>
  <c r="L111" i="7"/>
  <c r="L110" i="7"/>
  <c r="L109" i="7"/>
  <c r="L105" i="7"/>
  <c r="L106" i="7"/>
  <c r="L107" i="7"/>
  <c r="L108" i="7"/>
  <c r="S104" i="7"/>
  <c r="M104" i="7" l="1"/>
  <c r="Q104" i="7"/>
  <c r="N104" i="7"/>
  <c r="R104" i="7"/>
  <c r="O104" i="7"/>
  <c r="G12" i="7"/>
  <c r="L53" i="5"/>
  <c r="G68" i="5"/>
  <c r="J14" i="5"/>
  <c r="G14" i="5"/>
  <c r="F18" i="2"/>
  <c r="F17" i="2"/>
  <c r="F16" i="2"/>
  <c r="F15" i="2"/>
  <c r="F14" i="2"/>
  <c r="G77" i="7" l="1"/>
  <c r="G76" i="7"/>
  <c r="G75" i="7"/>
  <c r="G74" i="7"/>
  <c r="G73" i="7"/>
  <c r="G72" i="7"/>
  <c r="G71" i="7"/>
  <c r="G102" i="2"/>
  <c r="C18" i="6"/>
  <c r="C51" i="9"/>
  <c r="C47" i="9"/>
  <c r="C39" i="9"/>
  <c r="C23" i="9"/>
  <c r="E82" i="7"/>
  <c r="G38" i="9"/>
  <c r="G37" i="9"/>
  <c r="G22" i="9"/>
  <c r="G21" i="9"/>
  <c r="G36" i="9"/>
  <c r="G35" i="9"/>
  <c r="G34" i="9"/>
  <c r="G33" i="9"/>
  <c r="G32" i="9"/>
  <c r="G31" i="9"/>
  <c r="G30" i="9"/>
  <c r="G20" i="9"/>
  <c r="G19" i="9"/>
  <c r="G18" i="9"/>
  <c r="G17" i="9"/>
  <c r="G16" i="9"/>
  <c r="G15" i="9"/>
  <c r="G14" i="9"/>
  <c r="J38" i="9" l="1"/>
  <c r="E38" i="9"/>
  <c r="F38" i="9" s="1"/>
  <c r="J37" i="9"/>
  <c r="E37" i="9"/>
  <c r="J36" i="9"/>
  <c r="E36" i="9"/>
  <c r="F36" i="9" s="1"/>
  <c r="J35" i="9"/>
  <c r="E35" i="9"/>
  <c r="F35" i="9" s="1"/>
  <c r="J34" i="9"/>
  <c r="E34" i="9"/>
  <c r="F34" i="9" s="1"/>
  <c r="J33" i="9"/>
  <c r="E33" i="9"/>
  <c r="F33" i="9" s="1"/>
  <c r="J32" i="9"/>
  <c r="E32" i="9"/>
  <c r="F32" i="9" s="1"/>
  <c r="J31" i="9"/>
  <c r="E31" i="9"/>
  <c r="F31" i="9" s="1"/>
  <c r="E30" i="9"/>
  <c r="F30" i="9" s="1"/>
  <c r="I34" i="7"/>
  <c r="I43" i="7" s="1"/>
  <c r="G37" i="7"/>
  <c r="J42" i="7"/>
  <c r="G42" i="7" s="1"/>
  <c r="J41" i="7"/>
  <c r="G41" i="7" s="1"/>
  <c r="J40" i="7"/>
  <c r="G40" i="7" s="1"/>
  <c r="J39" i="7"/>
  <c r="G39" i="7" s="1"/>
  <c r="J38" i="7"/>
  <c r="G38" i="7" s="1"/>
  <c r="J37" i="7"/>
  <c r="J36" i="7"/>
  <c r="G36" i="7" s="1"/>
  <c r="G32" i="7"/>
  <c r="J34" i="7"/>
  <c r="J9" i="6"/>
  <c r="C30" i="6"/>
  <c r="C26" i="6"/>
  <c r="E22" i="9"/>
  <c r="F22" i="9" s="1"/>
  <c r="E21" i="9"/>
  <c r="E20" i="9"/>
  <c r="F20" i="9" s="1"/>
  <c r="E19" i="9"/>
  <c r="F19" i="9" s="1"/>
  <c r="E18" i="9"/>
  <c r="F18" i="9" s="1"/>
  <c r="E17" i="9"/>
  <c r="F17" i="9" s="1"/>
  <c r="E16" i="9"/>
  <c r="F16" i="9" s="1"/>
  <c r="E15" i="9"/>
  <c r="F15" i="9" s="1"/>
  <c r="E14" i="9"/>
  <c r="F14" i="9" s="1"/>
  <c r="J64" i="7"/>
  <c r="G23" i="7"/>
  <c r="G82" i="7" s="1"/>
  <c r="G22" i="7"/>
  <c r="G19" i="7"/>
  <c r="G13" i="7"/>
  <c r="I12" i="7"/>
  <c r="F37" i="9" l="1"/>
  <c r="E39" i="9"/>
  <c r="F21" i="9"/>
  <c r="F23" i="9" s="1"/>
  <c r="E23" i="9"/>
  <c r="C69" i="7"/>
  <c r="J43" i="7"/>
  <c r="G34" i="7"/>
  <c r="G43" i="7" s="1"/>
  <c r="G50" i="7" s="1"/>
  <c r="J50" i="7" s="1"/>
  <c r="G39" i="9"/>
  <c r="F39" i="9"/>
  <c r="J30" i="9"/>
  <c r="J39" i="9" s="1"/>
  <c r="J12" i="7"/>
  <c r="J13" i="7"/>
  <c r="G56" i="7"/>
  <c r="G69" i="7"/>
  <c r="J69" i="7" s="1"/>
  <c r="G60" i="7"/>
  <c r="G63" i="7"/>
  <c r="G89" i="7"/>
  <c r="J89" i="7" s="1"/>
  <c r="J19" i="7"/>
  <c r="G59" i="7"/>
  <c r="J82" i="7"/>
  <c r="G57" i="7"/>
  <c r="G61" i="7"/>
  <c r="G24" i="7"/>
  <c r="G58" i="7"/>
  <c r="G62" i="7"/>
  <c r="G68" i="7"/>
  <c r="G92" i="7" l="1"/>
  <c r="J92" i="7" s="1"/>
  <c r="J40" i="9"/>
  <c r="G49" i="7"/>
  <c r="J42" i="9"/>
  <c r="J41" i="9"/>
  <c r="G64" i="7"/>
  <c r="J68" i="7"/>
  <c r="J49" i="7" l="1"/>
  <c r="I11" i="5"/>
  <c r="G12" i="5"/>
  <c r="J43" i="5"/>
  <c r="J13" i="5" l="1"/>
  <c r="G56" i="5"/>
  <c r="G52" i="5"/>
  <c r="G55" i="5"/>
  <c r="G51" i="5"/>
  <c r="G54" i="5"/>
  <c r="G50" i="5"/>
  <c r="G53" i="5"/>
  <c r="G37" i="5"/>
  <c r="G38" i="5"/>
  <c r="G40" i="5"/>
  <c r="G35" i="5"/>
  <c r="G39" i="5"/>
  <c r="G41" i="5"/>
  <c r="G36" i="5"/>
  <c r="G42" i="5"/>
  <c r="J12" i="5"/>
  <c r="G22" i="5"/>
  <c r="G23" i="5"/>
  <c r="E17" i="6"/>
  <c r="E16" i="6"/>
  <c r="E15" i="6"/>
  <c r="E14" i="6"/>
  <c r="E13" i="6"/>
  <c r="E12" i="6"/>
  <c r="E11" i="6"/>
  <c r="E10" i="6"/>
  <c r="E8" i="6"/>
  <c r="G43" i="5" l="1"/>
  <c r="J22" i="9"/>
  <c r="J20" i="9"/>
  <c r="J18" i="9"/>
  <c r="J16" i="9"/>
  <c r="J21" i="9"/>
  <c r="J19" i="9"/>
  <c r="J17" i="9"/>
  <c r="J15" i="9"/>
  <c r="E18" i="6"/>
  <c r="G17" i="6"/>
  <c r="G13" i="6"/>
  <c r="F17" i="6"/>
  <c r="F13" i="6"/>
  <c r="F8" i="6"/>
  <c r="G11" i="6"/>
  <c r="F11" i="6"/>
  <c r="F14" i="6"/>
  <c r="G16" i="6"/>
  <c r="G12" i="6"/>
  <c r="F16" i="6"/>
  <c r="F12" i="6"/>
  <c r="G8" i="6"/>
  <c r="G15" i="6"/>
  <c r="F15" i="6"/>
  <c r="G14" i="6"/>
  <c r="G10" i="6"/>
  <c r="J10" i="6" s="1"/>
  <c r="F10" i="6"/>
  <c r="G24" i="5"/>
  <c r="E61" i="5"/>
  <c r="G61" i="5" s="1"/>
  <c r="G23" i="9" l="1"/>
  <c r="J14" i="9"/>
  <c r="J23" i="9" s="1"/>
  <c r="G71" i="5"/>
  <c r="J71" i="5" s="1"/>
  <c r="J61" i="5"/>
  <c r="E19" i="6"/>
  <c r="G25" i="5" s="1"/>
  <c r="G19" i="5"/>
  <c r="G11" i="5"/>
  <c r="G47" i="5" s="1"/>
  <c r="J47" i="5" s="1"/>
  <c r="J24" i="9" l="1"/>
  <c r="G48" i="7"/>
  <c r="J26" i="9"/>
  <c r="J25" i="9"/>
  <c r="J11" i="5"/>
  <c r="J68" i="5"/>
  <c r="J19" i="5"/>
  <c r="C48" i="5"/>
  <c r="G48" i="5" s="1"/>
  <c r="J48" i="5" s="1"/>
  <c r="J15" i="6"/>
  <c r="J13" i="6"/>
  <c r="J11" i="6"/>
  <c r="J16" i="6"/>
  <c r="J14" i="6"/>
  <c r="J12" i="6"/>
  <c r="J17" i="6"/>
  <c r="J48" i="7" l="1"/>
  <c r="G51" i="7"/>
  <c r="G52" i="7" s="1"/>
  <c r="F18" i="6"/>
  <c r="G18" i="6"/>
  <c r="J8" i="6"/>
  <c r="J18" i="6" s="1"/>
  <c r="G16" i="2"/>
  <c r="H16" i="2" s="1"/>
  <c r="G17" i="2"/>
  <c r="H17" i="2" s="1"/>
  <c r="G15" i="2"/>
  <c r="H15" i="2" s="1"/>
  <c r="F23" i="2"/>
  <c r="G23" i="2" s="1"/>
  <c r="F22" i="2"/>
  <c r="G22" i="2" s="1"/>
  <c r="G215" i="2" l="1"/>
  <c r="H215" i="2" s="1"/>
  <c r="J51" i="7"/>
  <c r="C70" i="7"/>
  <c r="G70" i="7" s="1"/>
  <c r="J19" i="6"/>
  <c r="J22" i="6"/>
  <c r="G31" i="5"/>
  <c r="L86" i="5" s="1"/>
  <c r="J21" i="6"/>
  <c r="J20" i="6"/>
  <c r="I12" i="2"/>
  <c r="I23" i="2" s="1"/>
  <c r="H22" i="2"/>
  <c r="H23" i="2"/>
  <c r="G272" i="2"/>
  <c r="H272" i="2" s="1"/>
  <c r="L85" i="5" l="1"/>
  <c r="L87" i="5"/>
  <c r="L88" i="5"/>
  <c r="L89" i="5"/>
  <c r="L83" i="5"/>
  <c r="L84" i="5"/>
  <c r="I22" i="2"/>
  <c r="I16" i="2"/>
  <c r="I15" i="2"/>
  <c r="G30" i="5"/>
  <c r="G29" i="5"/>
  <c r="J70" i="7"/>
  <c r="G78" i="7"/>
  <c r="G90" i="7" s="1"/>
  <c r="C49" i="5"/>
  <c r="G49" i="5" s="1"/>
  <c r="J31" i="5"/>
  <c r="I17" i="2"/>
  <c r="I215" i="2"/>
  <c r="D182" i="2"/>
  <c r="F154" i="2"/>
  <c r="H97" i="2"/>
  <c r="H96" i="2"/>
  <c r="H95" i="2"/>
  <c r="H94" i="2"/>
  <c r="H93" i="2"/>
  <c r="H92" i="2"/>
  <c r="H91" i="2"/>
  <c r="H90" i="2"/>
  <c r="H89" i="2"/>
  <c r="H83" i="2"/>
  <c r="H82" i="2"/>
  <c r="H81" i="2"/>
  <c r="H80" i="2"/>
  <c r="H79" i="2"/>
  <c r="H78" i="2"/>
  <c r="H77" i="2"/>
  <c r="H76" i="2"/>
  <c r="H75" i="2"/>
  <c r="H74" i="2"/>
  <c r="H73" i="2"/>
  <c r="H72" i="2"/>
  <c r="H71" i="2"/>
  <c r="H70" i="2"/>
  <c r="H69" i="2"/>
  <c r="H24" i="2"/>
  <c r="H20" i="2"/>
  <c r="H19" i="2"/>
  <c r="E135" i="2"/>
  <c r="G134" i="2"/>
  <c r="G133" i="2"/>
  <c r="G132" i="2"/>
  <c r="G130" i="2"/>
  <c r="J78" i="7" l="1"/>
  <c r="G86" i="7"/>
  <c r="G99" i="7"/>
  <c r="G57" i="5"/>
  <c r="J49" i="5"/>
  <c r="H98" i="2"/>
  <c r="G135" i="2"/>
  <c r="G153" i="2"/>
  <c r="H153" i="2" s="1"/>
  <c r="G152" i="2"/>
  <c r="H152" i="2" s="1"/>
  <c r="G151" i="2"/>
  <c r="H151" i="2" s="1"/>
  <c r="G150" i="2"/>
  <c r="H150" i="2" s="1"/>
  <c r="G149" i="2"/>
  <c r="H149" i="2" s="1"/>
  <c r="G148" i="2"/>
  <c r="H148" i="2" s="1"/>
  <c r="G147" i="2"/>
  <c r="H147" i="2" s="1"/>
  <c r="G146" i="2"/>
  <c r="H146" i="2" s="1"/>
  <c r="G145" i="2"/>
  <c r="H145" i="2" s="1"/>
  <c r="G144" i="2"/>
  <c r="H144" i="2" s="1"/>
  <c r="G143" i="2"/>
  <c r="H143" i="2" s="1"/>
  <c r="G142" i="2"/>
  <c r="H142" i="2" s="1"/>
  <c r="G141" i="2"/>
  <c r="H141" i="2" s="1"/>
  <c r="G203" i="2"/>
  <c r="H203" i="2" s="1"/>
  <c r="G202" i="2"/>
  <c r="H202" i="2" s="1"/>
  <c r="G118" i="2"/>
  <c r="H118" i="2" s="1"/>
  <c r="G117" i="2"/>
  <c r="H117" i="2" s="1"/>
  <c r="G116" i="2"/>
  <c r="H116" i="2" s="1"/>
  <c r="G115" i="2"/>
  <c r="H115" i="2" s="1"/>
  <c r="G114" i="2"/>
  <c r="H114" i="2" s="1"/>
  <c r="G113" i="2"/>
  <c r="H113" i="2" s="1"/>
  <c r="G112" i="2"/>
  <c r="H112" i="2" s="1"/>
  <c r="G111" i="2"/>
  <c r="H111" i="2" s="1"/>
  <c r="G110" i="2"/>
  <c r="H110" i="2" s="1"/>
  <c r="G109" i="2"/>
  <c r="H109" i="2" s="1"/>
  <c r="G108" i="2"/>
  <c r="H108" i="2" s="1"/>
  <c r="G107" i="2"/>
  <c r="H107" i="2" s="1"/>
  <c r="G106" i="2"/>
  <c r="H106" i="2" s="1"/>
  <c r="G105" i="2"/>
  <c r="H105" i="2" s="1"/>
  <c r="G104" i="2"/>
  <c r="H104" i="2" s="1"/>
  <c r="G103" i="2"/>
  <c r="H103" i="2" s="1"/>
  <c r="H102" i="2"/>
  <c r="G64" i="2"/>
  <c r="H64" i="2" s="1"/>
  <c r="G63" i="2"/>
  <c r="H63" i="2" s="1"/>
  <c r="G62" i="2"/>
  <c r="H62" i="2" s="1"/>
  <c r="J90" i="7" l="1"/>
  <c r="G97" i="7"/>
  <c r="G96" i="7"/>
  <c r="G91" i="7"/>
  <c r="J57" i="5"/>
  <c r="G65" i="5"/>
  <c r="G78" i="5"/>
  <c r="G69" i="5"/>
  <c r="G70" i="5" s="1"/>
  <c r="F136" i="2"/>
  <c r="G137" i="2"/>
  <c r="H84" i="2"/>
  <c r="H204" i="2"/>
  <c r="H205" i="2" s="1"/>
  <c r="E196" i="2"/>
  <c r="G196" i="2" s="1"/>
  <c r="H196" i="2" s="1"/>
  <c r="E195" i="2"/>
  <c r="G195" i="2" s="1"/>
  <c r="H195" i="2" s="1"/>
  <c r="E194" i="2"/>
  <c r="G194" i="2" s="1"/>
  <c r="H194" i="2" s="1"/>
  <c r="E193" i="2"/>
  <c r="G193" i="2" s="1"/>
  <c r="H193" i="2" s="1"/>
  <c r="E192" i="2"/>
  <c r="G192" i="2" s="1"/>
  <c r="H192" i="2" s="1"/>
  <c r="E191" i="2"/>
  <c r="G191" i="2" s="1"/>
  <c r="H191" i="2" s="1"/>
  <c r="E190" i="2"/>
  <c r="G190" i="2" s="1"/>
  <c r="H190" i="2" s="1"/>
  <c r="E189" i="2"/>
  <c r="G189" i="2" s="1"/>
  <c r="H189" i="2" s="1"/>
  <c r="E188" i="2"/>
  <c r="G188" i="2" s="1"/>
  <c r="H188" i="2" s="1"/>
  <c r="E187" i="2"/>
  <c r="G187" i="2" s="1"/>
  <c r="H187" i="2" s="1"/>
  <c r="E181" i="2"/>
  <c r="G181" i="2" s="1"/>
  <c r="H181" i="2" s="1"/>
  <c r="E180" i="2"/>
  <c r="G180" i="2" s="1"/>
  <c r="H180" i="2" s="1"/>
  <c r="E179" i="2"/>
  <c r="G179" i="2" s="1"/>
  <c r="H179" i="2" s="1"/>
  <c r="E178" i="2"/>
  <c r="G178" i="2" s="1"/>
  <c r="H178" i="2" s="1"/>
  <c r="E177" i="2"/>
  <c r="G177" i="2" s="1"/>
  <c r="H177" i="2" s="1"/>
  <c r="E176" i="2"/>
  <c r="G176" i="2" s="1"/>
  <c r="H176" i="2" s="1"/>
  <c r="E175" i="2"/>
  <c r="G175" i="2" s="1"/>
  <c r="H175" i="2" s="1"/>
  <c r="E174" i="2"/>
  <c r="G174" i="2" s="1"/>
  <c r="H174" i="2" s="1"/>
  <c r="E173" i="2"/>
  <c r="G173" i="2" s="1"/>
  <c r="H173" i="2" s="1"/>
  <c r="E172" i="2"/>
  <c r="G172" i="2" s="1"/>
  <c r="H172" i="2" s="1"/>
  <c r="E171" i="2"/>
  <c r="G171" i="2" s="1"/>
  <c r="H171" i="2" s="1"/>
  <c r="E170" i="2"/>
  <c r="G170" i="2" s="1"/>
  <c r="H170" i="2" s="1"/>
  <c r="E169" i="2"/>
  <c r="G169" i="2" s="1"/>
  <c r="H169" i="2" s="1"/>
  <c r="E168" i="2"/>
  <c r="G168" i="2" s="1"/>
  <c r="H168" i="2" s="1"/>
  <c r="E167" i="2"/>
  <c r="G167" i="2" s="1"/>
  <c r="H167" i="2" s="1"/>
  <c r="E166" i="2"/>
  <c r="G166" i="2" s="1"/>
  <c r="H166" i="2" s="1"/>
  <c r="E165" i="2"/>
  <c r="G165" i="2" s="1"/>
  <c r="H165" i="2" s="1"/>
  <c r="E164" i="2"/>
  <c r="G164" i="2" s="1"/>
  <c r="H164" i="2" s="1"/>
  <c r="E163" i="2"/>
  <c r="G163" i="2" s="1"/>
  <c r="H163" i="2" s="1"/>
  <c r="J91" i="7" l="1"/>
  <c r="G93" i="7"/>
  <c r="J93" i="7" s="1"/>
  <c r="J69" i="5"/>
  <c r="G76" i="5"/>
  <c r="G75" i="5"/>
  <c r="P82" i="5" s="1"/>
  <c r="H137" i="2"/>
  <c r="G204" i="2"/>
  <c r="G271" i="2"/>
  <c r="H271" i="2" s="1"/>
  <c r="G270" i="2"/>
  <c r="H270" i="2" s="1"/>
  <c r="P87" i="5" l="1"/>
  <c r="P84" i="5"/>
  <c r="P85" i="5"/>
  <c r="P86" i="5"/>
  <c r="P83" i="5"/>
  <c r="P89" i="5"/>
  <c r="P88" i="5"/>
  <c r="S82" i="5"/>
  <c r="R82" i="5"/>
  <c r="O82" i="5"/>
  <c r="M82" i="5"/>
  <c r="Q82" i="5"/>
  <c r="N82" i="5"/>
  <c r="G72" i="5"/>
  <c r="J72" i="5" s="1"/>
  <c r="J70" i="5"/>
  <c r="G232" i="2"/>
  <c r="G205" i="2"/>
  <c r="H232" i="2"/>
  <c r="N88" i="5" l="1"/>
  <c r="N87" i="5"/>
  <c r="N86" i="5"/>
  <c r="N85" i="5"/>
  <c r="N84" i="5"/>
  <c r="N89" i="5"/>
  <c r="N83" i="5"/>
  <c r="M88" i="5"/>
  <c r="M86" i="5"/>
  <c r="M84" i="5"/>
  <c r="M83" i="5"/>
  <c r="M85" i="5"/>
  <c r="M89" i="5"/>
  <c r="M87" i="5"/>
  <c r="R89" i="5"/>
  <c r="R88" i="5"/>
  <c r="R87" i="5"/>
  <c r="R86" i="5"/>
  <c r="R84" i="5"/>
  <c r="R83" i="5"/>
  <c r="R85" i="5"/>
  <c r="Q89" i="5"/>
  <c r="Q88" i="5"/>
  <c r="Q87" i="5"/>
  <c r="Q86" i="5"/>
  <c r="Q85" i="5"/>
  <c r="Q84" i="5"/>
  <c r="Q83" i="5"/>
  <c r="O86" i="5"/>
  <c r="O89" i="5"/>
  <c r="O88" i="5"/>
  <c r="O85" i="5"/>
  <c r="O84" i="5"/>
  <c r="O87" i="5"/>
  <c r="O83" i="5"/>
  <c r="S83" i="5"/>
  <c r="S89" i="5"/>
  <c r="S88" i="5"/>
  <c r="S87" i="5"/>
  <c r="S86" i="5"/>
  <c r="S85" i="5"/>
  <c r="S84" i="5"/>
  <c r="G209" i="2"/>
  <c r="H209" i="2" s="1"/>
  <c r="B197" i="2" l="1"/>
  <c r="G198" i="2" s="1"/>
  <c r="H198" i="2" s="1"/>
  <c r="B182" i="2"/>
  <c r="G183" i="2" s="1"/>
  <c r="H183" i="2" s="1"/>
  <c r="D154" i="2"/>
  <c r="G155" i="2" s="1"/>
  <c r="H155" i="2" l="1"/>
  <c r="H236" i="2" s="1"/>
  <c r="G236" i="2"/>
  <c r="G18" i="2"/>
  <c r="G32" i="2"/>
  <c r="H32" i="2" s="1"/>
  <c r="G33" i="2"/>
  <c r="H33" i="2" s="1"/>
  <c r="G34" i="2"/>
  <c r="H34" i="2" s="1"/>
  <c r="G35" i="2"/>
  <c r="H35" i="2" s="1"/>
  <c r="G36" i="2"/>
  <c r="H36" i="2" s="1"/>
  <c r="G37" i="2"/>
  <c r="H37" i="2" s="1"/>
  <c r="G38" i="2"/>
  <c r="H38" i="2" s="1"/>
  <c r="G39" i="2"/>
  <c r="H39" i="2" s="1"/>
  <c r="G40" i="2"/>
  <c r="H40" i="2" s="1"/>
  <c r="G41" i="2"/>
  <c r="H41" i="2" s="1"/>
  <c r="G46" i="2"/>
  <c r="H46" i="2" s="1"/>
  <c r="G47" i="2"/>
  <c r="H47" i="2" s="1"/>
  <c r="G48" i="2"/>
  <c r="H48" i="2" s="1"/>
  <c r="G49" i="2"/>
  <c r="H49" i="2" s="1"/>
  <c r="G50" i="2"/>
  <c r="H50" i="2" s="1"/>
  <c r="G51" i="2"/>
  <c r="H51" i="2" s="1"/>
  <c r="G52" i="2"/>
  <c r="H52" i="2" s="1"/>
  <c r="G53" i="2"/>
  <c r="H53" i="2" s="1"/>
  <c r="G54" i="2"/>
  <c r="H54" i="2" s="1"/>
  <c r="G55" i="2"/>
  <c r="H55" i="2" s="1"/>
  <c r="G60" i="2"/>
  <c r="H60" i="2" s="1"/>
  <c r="G61" i="2"/>
  <c r="H61" i="2" s="1"/>
  <c r="G214" i="2"/>
  <c r="H214" i="2" s="1"/>
  <c r="G216" i="2"/>
  <c r="H216" i="2" s="1"/>
  <c r="G84" i="2"/>
  <c r="G223" i="2" s="1"/>
  <c r="G98" i="2"/>
  <c r="G224" i="2" s="1"/>
  <c r="H18" i="2" l="1"/>
  <c r="H42" i="2"/>
  <c r="H65" i="2"/>
  <c r="H222" i="2" s="1"/>
  <c r="H56" i="2"/>
  <c r="H119" i="2"/>
  <c r="G182" i="2"/>
  <c r="G234" i="2" s="1"/>
  <c r="H224" i="2"/>
  <c r="G197" i="2"/>
  <c r="G235" i="2" s="1"/>
  <c r="G119" i="2"/>
  <c r="G65" i="2"/>
  <c r="G222" i="2" s="1"/>
  <c r="G14" i="2"/>
  <c r="G213" i="2" s="1"/>
  <c r="H213" i="2" s="1"/>
  <c r="G56" i="2"/>
  <c r="G221" i="2" s="1"/>
  <c r="G42" i="2"/>
  <c r="G122" i="2" s="1"/>
  <c r="H223" i="2"/>
  <c r="G154" i="2"/>
  <c r="H122" i="2" l="1"/>
  <c r="H220" i="2"/>
  <c r="H241" i="2"/>
  <c r="G241" i="2"/>
  <c r="H14" i="2"/>
  <c r="H25" i="2" s="1"/>
  <c r="H240" i="2" s="1"/>
  <c r="H242" i="2" s="1"/>
  <c r="I14" i="2"/>
  <c r="I270" i="2"/>
  <c r="I198" i="2"/>
  <c r="I272" i="2"/>
  <c r="I183" i="2"/>
  <c r="I155" i="2"/>
  <c r="I271" i="2"/>
  <c r="I137" i="2"/>
  <c r="G225" i="2"/>
  <c r="H225" i="2"/>
  <c r="I193" i="2"/>
  <c r="I172" i="2"/>
  <c r="I179" i="2"/>
  <c r="I171" i="2"/>
  <c r="I167" i="2"/>
  <c r="I163" i="2"/>
  <c r="I153" i="2"/>
  <c r="I149" i="2"/>
  <c r="I144" i="2"/>
  <c r="I189" i="2"/>
  <c r="I166" i="2"/>
  <c r="I152" i="2"/>
  <c r="I147" i="2"/>
  <c r="I143" i="2"/>
  <c r="I188" i="2"/>
  <c r="I180" i="2"/>
  <c r="I175" i="2"/>
  <c r="I169" i="2"/>
  <c r="I151" i="2"/>
  <c r="I146" i="2"/>
  <c r="I142" i="2"/>
  <c r="I176" i="2"/>
  <c r="I168" i="2"/>
  <c r="I164" i="2"/>
  <c r="I150" i="2"/>
  <c r="I145" i="2"/>
  <c r="I141" i="2"/>
  <c r="I195" i="2"/>
  <c r="I192" i="2"/>
  <c r="I173" i="2"/>
  <c r="I181" i="2"/>
  <c r="I165" i="2"/>
  <c r="I196" i="2"/>
  <c r="I174" i="2"/>
  <c r="I178" i="2"/>
  <c r="I148" i="2"/>
  <c r="I194" i="2"/>
  <c r="I170" i="2"/>
  <c r="I187" i="2"/>
  <c r="I191" i="2"/>
  <c r="I177" i="2"/>
  <c r="I190" i="2"/>
  <c r="I39" i="2"/>
  <c r="G233" i="2"/>
  <c r="G237" i="2" s="1"/>
  <c r="I202" i="2"/>
  <c r="I114" i="2"/>
  <c r="I116" i="2"/>
  <c r="I203" i="2"/>
  <c r="I115" i="2"/>
  <c r="I117" i="2"/>
  <c r="I118" i="2"/>
  <c r="I113" i="2"/>
  <c r="I78" i="2"/>
  <c r="I76" i="2"/>
  <c r="I79" i="2"/>
  <c r="I77" i="2"/>
  <c r="I80" i="2"/>
  <c r="I60" i="2"/>
  <c r="I209" i="2"/>
  <c r="H182" i="2"/>
  <c r="H234" i="2" s="1"/>
  <c r="I74" i="2"/>
  <c r="I47" i="2"/>
  <c r="I18" i="2"/>
  <c r="I19" i="2"/>
  <c r="I37" i="2"/>
  <c r="H197" i="2"/>
  <c r="H235" i="2" s="1"/>
  <c r="I83" i="2"/>
  <c r="H221" i="2"/>
  <c r="I71" i="2"/>
  <c r="I109" i="2"/>
  <c r="I69" i="2"/>
  <c r="I112" i="2"/>
  <c r="I61" i="2"/>
  <c r="I82" i="2"/>
  <c r="I73" i="2"/>
  <c r="I50" i="2"/>
  <c r="I104" i="2"/>
  <c r="I89" i="2"/>
  <c r="I97" i="2"/>
  <c r="I48" i="2"/>
  <c r="I216" i="2"/>
  <c r="I102" i="2"/>
  <c r="I95" i="2"/>
  <c r="I32" i="2"/>
  <c r="I91" i="2"/>
  <c r="I54" i="2"/>
  <c r="I46" i="2"/>
  <c r="I35" i="2"/>
  <c r="I108" i="2"/>
  <c r="I94" i="2"/>
  <c r="I70" i="2"/>
  <c r="I96" i="2"/>
  <c r="I93" i="2"/>
  <c r="I63" i="2"/>
  <c r="I107" i="2"/>
  <c r="I75" i="2"/>
  <c r="I52" i="2"/>
  <c r="I41" i="2"/>
  <c r="I33" i="2"/>
  <c r="I111" i="2"/>
  <c r="I106" i="2"/>
  <c r="I90" i="2"/>
  <c r="I64" i="2"/>
  <c r="I36" i="2"/>
  <c r="I103" i="2"/>
  <c r="I40" i="2"/>
  <c r="I53" i="2"/>
  <c r="G25" i="2"/>
  <c r="G240" i="2" s="1"/>
  <c r="G242" i="2" s="1"/>
  <c r="I20" i="2"/>
  <c r="I81" i="2"/>
  <c r="I110" i="2"/>
  <c r="I34" i="2"/>
  <c r="I51" i="2"/>
  <c r="I92" i="2"/>
  <c r="I214" i="2"/>
  <c r="I38" i="2"/>
  <c r="I24" i="2"/>
  <c r="I55" i="2"/>
  <c r="I62" i="2"/>
  <c r="I105" i="2"/>
  <c r="I72" i="2"/>
  <c r="I49" i="2"/>
  <c r="G123" i="2"/>
  <c r="G226" i="2" s="1"/>
  <c r="G220" i="2"/>
  <c r="H154" i="2"/>
  <c r="I213" i="2" l="1"/>
  <c r="G227" i="2"/>
  <c r="H233" i="2"/>
  <c r="H237" i="2" s="1"/>
  <c r="I204" i="2"/>
  <c r="H123" i="2"/>
  <c r="H226" i="2" s="1"/>
  <c r="H227" i="2" s="1"/>
  <c r="H276" i="2" s="1"/>
  <c r="I182" i="2"/>
  <c r="I154" i="2"/>
  <c r="I84" i="2"/>
  <c r="I223" i="2" s="1"/>
  <c r="I65" i="2"/>
  <c r="I222" i="2" s="1"/>
  <c r="I119" i="2"/>
  <c r="I56" i="2"/>
  <c r="I221" i="2" s="1"/>
  <c r="I98" i="2"/>
  <c r="I224" i="2" s="1"/>
  <c r="I197" i="2"/>
  <c r="I235" i="2" s="1"/>
  <c r="I25" i="2"/>
  <c r="I240" i="2" s="1"/>
  <c r="G217" i="2"/>
  <c r="H217" i="2"/>
  <c r="G274" i="2" l="1"/>
  <c r="H274" i="2"/>
  <c r="H251" i="2"/>
  <c r="I232" i="2"/>
  <c r="I205" i="2"/>
  <c r="I236" i="2" s="1"/>
  <c r="I225" i="2"/>
  <c r="I233" i="2"/>
  <c r="G229" i="2"/>
  <c r="G249" i="2" s="1"/>
  <c r="I234" i="2"/>
  <c r="H229" i="2"/>
  <c r="H249" i="2" s="1"/>
  <c r="I217" i="2"/>
  <c r="I42" i="2"/>
  <c r="I241" i="2" l="1"/>
  <c r="I122" i="2"/>
  <c r="I237" i="2"/>
  <c r="I220" i="2"/>
  <c r="I242" i="2" l="1"/>
  <c r="B287" i="2"/>
  <c r="B261" i="2"/>
  <c r="B288" i="2"/>
  <c r="I123" i="2"/>
  <c r="I226" i="2" s="1"/>
  <c r="I227" i="2" s="1"/>
  <c r="I276" i="2" l="1"/>
  <c r="I278" i="2" s="1"/>
  <c r="F283" i="2" s="1"/>
  <c r="I274" i="2"/>
  <c r="B286" i="2"/>
  <c r="I229" i="2"/>
  <c r="I249" i="2" s="1"/>
  <c r="B290" i="2"/>
  <c r="B284" i="2"/>
  <c r="B289" i="2"/>
  <c r="I253" i="2"/>
  <c r="F257" i="2" s="1"/>
  <c r="I251" i="2"/>
  <c r="B285" i="2"/>
  <c r="B264" i="2"/>
  <c r="B259" i="2"/>
  <c r="B262" i="2"/>
  <c r="B263" i="2"/>
  <c r="B260" i="2"/>
  <c r="B258" i="2"/>
  <c r="F287" i="2" l="1"/>
  <c r="F286" i="2"/>
  <c r="F285" i="2"/>
  <c r="F284" i="2"/>
  <c r="F290" i="2"/>
  <c r="F289" i="2"/>
  <c r="F288" i="2"/>
  <c r="F261" i="2"/>
  <c r="F264" i="2"/>
  <c r="F263" i="2"/>
  <c r="F262" i="2"/>
  <c r="F258" i="2"/>
  <c r="F259" i="2"/>
  <c r="F260" i="2"/>
  <c r="E283" i="2"/>
  <c r="C283" i="2"/>
  <c r="D283" i="2"/>
  <c r="I283" i="2"/>
  <c r="G283" i="2"/>
  <c r="H283" i="2"/>
  <c r="G257" i="2"/>
  <c r="D257" i="2"/>
  <c r="H257" i="2"/>
  <c r="C257" i="2"/>
  <c r="E257" i="2"/>
  <c r="I257" i="2"/>
  <c r="D289" i="2" l="1"/>
  <c r="D288" i="2"/>
  <c r="D287" i="2"/>
  <c r="D286" i="2"/>
  <c r="D285" i="2"/>
  <c r="D284" i="2"/>
  <c r="D290" i="2"/>
  <c r="C290" i="2"/>
  <c r="C289" i="2"/>
  <c r="C288" i="2"/>
  <c r="C287" i="2"/>
  <c r="C286" i="2"/>
  <c r="C285" i="2"/>
  <c r="C284" i="2"/>
  <c r="E290" i="2"/>
  <c r="E289" i="2"/>
  <c r="E288" i="2"/>
  <c r="E287" i="2"/>
  <c r="E286" i="2"/>
  <c r="E285" i="2"/>
  <c r="E284" i="2"/>
  <c r="H285" i="2"/>
  <c r="H284" i="2"/>
  <c r="H290" i="2"/>
  <c r="H289" i="2"/>
  <c r="H288" i="2"/>
  <c r="H287" i="2"/>
  <c r="H286" i="2"/>
  <c r="G290" i="2"/>
  <c r="G289" i="2"/>
  <c r="G288" i="2"/>
  <c r="G287" i="2"/>
  <c r="G286" i="2"/>
  <c r="G285" i="2"/>
  <c r="G284" i="2"/>
  <c r="I290" i="2"/>
  <c r="I289" i="2"/>
  <c r="I288" i="2"/>
  <c r="I287" i="2"/>
  <c r="I286" i="2"/>
  <c r="I285" i="2"/>
  <c r="I284" i="2"/>
  <c r="I262" i="2"/>
  <c r="I259" i="2"/>
  <c r="I261" i="2"/>
  <c r="I263" i="2"/>
  <c r="I258" i="2"/>
  <c r="I264" i="2"/>
  <c r="I260" i="2"/>
  <c r="G263" i="2"/>
  <c r="G262" i="2"/>
  <c r="G258" i="2"/>
  <c r="G259" i="2"/>
  <c r="G264" i="2"/>
  <c r="G260" i="2"/>
  <c r="G261" i="2"/>
  <c r="E264" i="2"/>
  <c r="E260" i="2"/>
  <c r="E261" i="2"/>
  <c r="E263" i="2"/>
  <c r="E262" i="2"/>
  <c r="E258" i="2"/>
  <c r="E259" i="2"/>
  <c r="C264" i="2"/>
  <c r="C259" i="2"/>
  <c r="C260" i="2"/>
  <c r="C261" i="2"/>
  <c r="C263" i="2"/>
  <c r="C262" i="2"/>
  <c r="C258" i="2"/>
  <c r="H264" i="2"/>
  <c r="H262" i="2"/>
  <c r="H258" i="2"/>
  <c r="H260" i="2"/>
  <c r="H263" i="2"/>
  <c r="H259" i="2"/>
  <c r="H261" i="2"/>
  <c r="D258" i="2"/>
  <c r="D264" i="2"/>
  <c r="D263" i="2"/>
  <c r="D259" i="2"/>
  <c r="D262" i="2"/>
  <c r="D260" i="2"/>
  <c r="D261" i="2"/>
</calcChain>
</file>

<file path=xl/sharedStrings.xml><?xml version="1.0" encoding="utf-8"?>
<sst xmlns="http://schemas.openxmlformats.org/spreadsheetml/2006/main" count="703" uniqueCount="386">
  <si>
    <t>Directions for this spreadsheet can be found on the Directions Tab at the bottom of the this spreadsheet</t>
  </si>
  <si>
    <t>There are also helpful hints in green boxes throughout this spreadsheet</t>
  </si>
  <si>
    <t>Enter values in blue boxes.  Yellow, pink and tan boxes are calculated numbers.</t>
  </si>
  <si>
    <t>Number of Ewes (purchased and home raised) at the beginning of this cycle that should lamb for this enterprise analysis</t>
  </si>
  <si>
    <t>Revenue</t>
  </si>
  <si>
    <t>lbs. of lambs sold</t>
  </si>
  <si>
    <t xml:space="preserve">Item </t>
  </si>
  <si>
    <t>Head</t>
  </si>
  <si>
    <t>Ave weight in lb.</t>
  </si>
  <si>
    <t>Unit</t>
  </si>
  <si>
    <t>Price/lb.</t>
  </si>
  <si>
    <t>Total lbs. sold</t>
  </si>
  <si>
    <t>Total $ income</t>
  </si>
  <si>
    <t>Per ewe</t>
  </si>
  <si>
    <t>Per lb. of lamb sold</t>
  </si>
  <si>
    <t>Feeder lambs grp 1</t>
  </si>
  <si>
    <t>lb.</t>
  </si>
  <si>
    <t>Feeder lambs grp 2</t>
  </si>
  <si>
    <t>Cull ewes</t>
  </si>
  <si>
    <t>Cull rams</t>
  </si>
  <si>
    <t># of fleece</t>
  </si>
  <si>
    <t>Ave. fleece wt.</t>
  </si>
  <si>
    <t>Total lb. sold</t>
  </si>
  <si>
    <t>Wool Sales good quality</t>
  </si>
  <si>
    <t>Wool sales poor quality</t>
  </si>
  <si>
    <t xml:space="preserve">Other Livestock Sales </t>
  </si>
  <si>
    <t>Total Gross Revenue</t>
  </si>
  <si>
    <t>Expenses</t>
  </si>
  <si>
    <t>Home Grown Feed</t>
  </si>
  <si>
    <t>Feed stuff</t>
  </si>
  <si>
    <t>Quantity used</t>
  </si>
  <si>
    <t>Unit*</t>
  </si>
  <si>
    <t>Total Cost</t>
  </si>
  <si>
    <t>Good hay</t>
  </si>
  <si>
    <t>tons</t>
  </si>
  <si>
    <t>Medium hay</t>
  </si>
  <si>
    <t>Poor hay</t>
  </si>
  <si>
    <t>Shell corn</t>
  </si>
  <si>
    <t>bu.</t>
  </si>
  <si>
    <t>Oats</t>
  </si>
  <si>
    <t>Total Home Grown Feed</t>
  </si>
  <si>
    <r>
      <t>*</t>
    </r>
    <r>
      <rPr>
        <sz val="14"/>
        <color rgb="FF000000"/>
        <rFont val="Calibri"/>
        <family val="2"/>
      </rPr>
      <t xml:space="preserve"> the user has flexibility on the unit of measure, make sure to match price based on the unit used</t>
    </r>
  </si>
  <si>
    <t>Purchased Feed</t>
  </si>
  <si>
    <t>Mineral</t>
  </si>
  <si>
    <t>50 lb. bags</t>
  </si>
  <si>
    <t>creep feed pellets</t>
  </si>
  <si>
    <t>sheep balancer pellet</t>
  </si>
  <si>
    <t>milk replacer</t>
  </si>
  <si>
    <t>25 lb. bags</t>
  </si>
  <si>
    <t>colostrum replacer</t>
  </si>
  <si>
    <t xml:space="preserve">1.5 lb. tubs </t>
  </si>
  <si>
    <t>grower pellet</t>
  </si>
  <si>
    <t>salt</t>
  </si>
  <si>
    <t>Total Purchased Feed</t>
  </si>
  <si>
    <t>Total Feed Costs</t>
  </si>
  <si>
    <t>Revenue over Feed Costs</t>
  </si>
  <si>
    <t>Bedding</t>
  </si>
  <si>
    <t>Material</t>
  </si>
  <si>
    <t>Per lb. of lamb sold</t>
  </si>
  <si>
    <t>Corn stalks</t>
  </si>
  <si>
    <t>Straw</t>
  </si>
  <si>
    <t>Total Bedding</t>
  </si>
  <si>
    <t>Vet, Med &amp; Breeding</t>
  </si>
  <si>
    <t>Item</t>
  </si>
  <si>
    <t>Vaccines- lambs</t>
  </si>
  <si>
    <t>Vaccines- ewes</t>
  </si>
  <si>
    <t>Dewormer</t>
  </si>
  <si>
    <t>Vet bill</t>
  </si>
  <si>
    <t>Ear tags</t>
  </si>
  <si>
    <t xml:space="preserve">Total </t>
  </si>
  <si>
    <t>Pasture Expenses</t>
  </si>
  <si>
    <t>Seed</t>
  </si>
  <si>
    <t>Fertilizer</t>
  </si>
  <si>
    <t>Limestone</t>
  </si>
  <si>
    <t>Herbicide</t>
  </si>
  <si>
    <t>Pasture rent</t>
  </si>
  <si>
    <t>Fence Repair</t>
  </si>
  <si>
    <t>Total Pasture Expenses</t>
  </si>
  <si>
    <t>Other Direct Expenses</t>
  </si>
  <si>
    <t>Total Annual Expense</t>
  </si>
  <si>
    <t>% Allocated to sheep</t>
  </si>
  <si>
    <t>Annual Cost to ewe flock</t>
  </si>
  <si>
    <t>Shearing</t>
  </si>
  <si>
    <t>Paid / Hired Labor</t>
  </si>
  <si>
    <t>Fuel &amp; Oil</t>
  </si>
  <si>
    <t>Utilities</t>
  </si>
  <si>
    <t>Machinery Repair</t>
  </si>
  <si>
    <t>Facility &amp; Building Repair</t>
  </si>
  <si>
    <t>Dues and Professional Fees</t>
  </si>
  <si>
    <t>Permits and Certification</t>
  </si>
  <si>
    <t>Advertising</t>
  </si>
  <si>
    <t>Machinery Leases</t>
  </si>
  <si>
    <t>Building Leases</t>
  </si>
  <si>
    <t>Miscellaneous</t>
  </si>
  <si>
    <t xml:space="preserve">Hired Trucking </t>
  </si>
  <si>
    <t>Total Other Annual Direct Expenses for Ewe Flock Enterprise</t>
  </si>
  <si>
    <t>Direct Expenses Summary and Opportunity Costs for Direct Expenses</t>
  </si>
  <si>
    <t>Total Direct Expenses</t>
  </si>
  <si>
    <t>Opportunity Cost of Direct Expenses *</t>
  </si>
  <si>
    <t>Interest rate</t>
  </si>
  <si>
    <t>* assumes an average expense time of 6 months for direct expenses for opportunity cost calculation</t>
  </si>
  <si>
    <t>Overhead Costs</t>
  </si>
  <si>
    <t xml:space="preserve">Home Raised Ewes * </t>
  </si>
  <si>
    <t>*each ewe should only be entered on one line above, only enter home raised ewes in this section</t>
  </si>
  <si>
    <t>Number of head</t>
  </si>
  <si>
    <t>Value/Head</t>
  </si>
  <si>
    <t>Annual Value</t>
  </si>
  <si>
    <t>Young Ewes</t>
  </si>
  <si>
    <t>Older Ewes</t>
  </si>
  <si>
    <t>Ewes you intend to cull after this budget cycle (last time they lamb)</t>
  </si>
  <si>
    <t>Totals</t>
  </si>
  <si>
    <t>Average Ewe Value</t>
  </si>
  <si>
    <t>Opportunity Cost of Home Raised Ewes</t>
  </si>
  <si>
    <t>Purchased Breeding Stock</t>
  </si>
  <si>
    <t>Description</t>
  </si>
  <si>
    <t>Sex</t>
  </si>
  <si>
    <t>Year bought</t>
  </si>
  <si>
    <t xml:space="preserve">Purchase Price </t>
  </si>
  <si>
    <t>Years intend to keep</t>
  </si>
  <si>
    <t>Estimated Cull/ Salvage Value</t>
  </si>
  <si>
    <t>Annual Pro-rated Cost</t>
  </si>
  <si>
    <t>Tank yearling</t>
  </si>
  <si>
    <t>ram</t>
  </si>
  <si>
    <t>Rufus ram lamb</t>
  </si>
  <si>
    <t>2 bred ewes lambs</t>
  </si>
  <si>
    <t>female</t>
  </si>
  <si>
    <t>Total</t>
  </si>
  <si>
    <t>Opportunity Cost of Purchased Livestock</t>
  </si>
  <si>
    <t>Machinery &amp; Equipment Overhead Cost</t>
  </si>
  <si>
    <t>Current market value</t>
  </si>
  <si>
    <t>Years of useful life left before replacement</t>
  </si>
  <si>
    <t>Estimated salvage/ trade in value</t>
  </si>
  <si>
    <t>Annual depreciation expense</t>
  </si>
  <si>
    <t>Annual Expense to ewe flock</t>
  </si>
  <si>
    <t>Manure spreader</t>
  </si>
  <si>
    <t>tractor</t>
  </si>
  <si>
    <t>Skid steer</t>
  </si>
  <si>
    <t>1 ton dually</t>
  </si>
  <si>
    <t>gooseneck trailer</t>
  </si>
  <si>
    <t>Squeeze chute</t>
  </si>
  <si>
    <t xml:space="preserve">Bale feeders </t>
  </si>
  <si>
    <t>Opportunity Cost of Machinery</t>
  </si>
  <si>
    <t>Buildings and Facility Overhead Cost</t>
  </si>
  <si>
    <t xml:space="preserve"> Current value</t>
  </si>
  <si>
    <t>Years of useful life left</t>
  </si>
  <si>
    <t>Hay shed</t>
  </si>
  <si>
    <t>Winter shed</t>
  </si>
  <si>
    <t>Machine shed</t>
  </si>
  <si>
    <t>Subtotal</t>
  </si>
  <si>
    <t>Opportunity Cost of Buildings and Facilities</t>
  </si>
  <si>
    <t>Interest Rate</t>
  </si>
  <si>
    <t>Other Overhead Expenses</t>
  </si>
  <si>
    <t xml:space="preserve">Annual amount </t>
  </si>
  <si>
    <t>% Allocated to ewe flock</t>
  </si>
  <si>
    <t>Real Estate and Personal Property Taxes</t>
  </si>
  <si>
    <t>Farm Insurance</t>
  </si>
  <si>
    <t>Total Annual Other Overhead Expenses for Ewe Flock Enterprise</t>
  </si>
  <si>
    <t>Opportunity Cost of Other Overhead Expenses</t>
  </si>
  <si>
    <t>Opportunity Cost on Owned Pasture</t>
  </si>
  <si>
    <t>Acres</t>
  </si>
  <si>
    <t>$ Value/acre</t>
  </si>
  <si>
    <t>% Int. Rate</t>
  </si>
  <si>
    <t>Opportunity Cost for owned Pasture</t>
  </si>
  <si>
    <t>Summary</t>
  </si>
  <si>
    <t>Income</t>
  </si>
  <si>
    <t>Per ewe flock</t>
  </si>
  <si>
    <t>Lamb Sales</t>
  </si>
  <si>
    <t>Cull Sales</t>
  </si>
  <si>
    <t>Wool Sales</t>
  </si>
  <si>
    <t>Other Livestock Sales</t>
  </si>
  <si>
    <t>Direct Expenses</t>
  </si>
  <si>
    <t>Related Expenses</t>
  </si>
  <si>
    <t>Opportunity Cost of Direct Expenses</t>
  </si>
  <si>
    <t>Return Over Direct Expenses (return to labor, management and capital)</t>
  </si>
  <si>
    <t>Overhead Expenses</t>
  </si>
  <si>
    <t>Related Overhead Expenses (property taxes, insurance etc.)</t>
  </si>
  <si>
    <r>
      <rPr>
        <sz val="14"/>
        <color rgb="FF000000"/>
        <rFont val="Calibri"/>
        <family val="2"/>
      </rPr>
      <t>Pro-rated annual purchased breeding livestock</t>
    </r>
    <r>
      <rPr>
        <b/>
        <sz val="14"/>
        <color rgb="FF000000"/>
        <rFont val="Calibri"/>
        <family val="2"/>
      </rPr>
      <t xml:space="preserve"> </t>
    </r>
  </si>
  <si>
    <t>Machinery</t>
  </si>
  <si>
    <t>Buildings</t>
  </si>
  <si>
    <t>Opportunity Cost on All Overhead Expenses</t>
  </si>
  <si>
    <t>Total Overhead Expenses</t>
  </si>
  <si>
    <t>Returns and Breakevens</t>
  </si>
  <si>
    <t>Enterprise Budget Method</t>
  </si>
  <si>
    <t>Expenses include: annual overhead costs, cash expenses, all opportunity costs. It does not include: intermediate and long term debt principal payments.</t>
  </si>
  <si>
    <t xml:space="preserve">Return to Unpaid Labor and Management </t>
  </si>
  <si>
    <t>Breakeven (total income per ewe and per lb. of lamb sold including cull and other revenue)</t>
  </si>
  <si>
    <t xml:space="preserve">Breakeven lamb sale price less cull and other sales with zero return to unpaid labor and management </t>
  </si>
  <si>
    <t>Sensitivity Analysis on Enterprise Budget Method</t>
  </si>
  <si>
    <t>Sensitivity Analysis of Feed Cost and Lamb Sale Prices, results shown on a per lb. of lamb price difference in profit or loss</t>
  </si>
  <si>
    <t xml:space="preserve">Cash Flow Method </t>
  </si>
  <si>
    <t xml:space="preserve">Expenses include: cash expenses, cost of home grown feed, taxes, insurance, principal and interest payments . </t>
  </si>
  <si>
    <t xml:space="preserve">Does NOT include annual overhead costs of buildings and equipment  or opportunity costs. </t>
  </si>
  <si>
    <t>Principal and Interest Payments on Intermediate Term Loans</t>
  </si>
  <si>
    <t>Principal and Interest Payments on Long Term Loans</t>
  </si>
  <si>
    <t>Interest Payments on Operating Loan</t>
  </si>
  <si>
    <t>Return to Unpaid Labor, Management and Capital</t>
  </si>
  <si>
    <t>Breakeven (total income per ewe and per lb. of lamb  sold including cull and other revenue)</t>
  </si>
  <si>
    <t xml:space="preserve">Breakeven feeder sale price less cull and other sales </t>
  </si>
  <si>
    <t>Sensitivity Analysis on Cash Flow Budget Method</t>
  </si>
  <si>
    <t>Sensitivity Analysis of Feed Cost and Feeder Lamb Prices, results shown on a per lb. of feeder lamb  price difference in profit or loss</t>
  </si>
  <si>
    <t>UW Extension Lamb Finishing Enterprise Budget version 1.0</t>
  </si>
  <si>
    <t>Enter values in blue boxes, yellow are calculated numbers.</t>
  </si>
  <si>
    <t>Description of Enterprise:</t>
  </si>
  <si>
    <t>REVENUE</t>
  </si>
  <si>
    <t>Projected Sale Date</t>
  </si>
  <si>
    <t>Sale of finished lambs</t>
  </si>
  <si>
    <t>Sale Price</t>
  </si>
  <si>
    <t>Income/Head</t>
  </si>
  <si>
    <t>Head in group</t>
  </si>
  <si>
    <t>Total Revenue</t>
  </si>
  <si>
    <t>Sale weight</t>
  </si>
  <si>
    <t>lbs.</t>
  </si>
  <si>
    <t>$/lb.</t>
  </si>
  <si>
    <t>Wool sale</t>
  </si>
  <si>
    <t>Other (LDP payment for wool for example)</t>
  </si>
  <si>
    <t>Total revenue</t>
  </si>
  <si>
    <t>EXPENSES</t>
  </si>
  <si>
    <t>Home raised lambs should have an opportunity cost/ value assigned to them</t>
  </si>
  <si>
    <t>Projected Purchase or Start Date</t>
  </si>
  <si>
    <t>Purchase or Transfer of Feeder Lambs</t>
  </si>
  <si>
    <t>Purchase Price</t>
  </si>
  <si>
    <t>Cost/Head</t>
  </si>
  <si>
    <t>Head Started</t>
  </si>
  <si>
    <t>Total Expense</t>
  </si>
  <si>
    <t>Start weight</t>
  </si>
  <si>
    <t>Projected Performance</t>
  </si>
  <si>
    <t>Estimated weight gained per head</t>
  </si>
  <si>
    <t>Estimated days on feed</t>
  </si>
  <si>
    <t>days</t>
  </si>
  <si>
    <t>Rate of Gain</t>
  </si>
  <si>
    <t>lb./day</t>
  </si>
  <si>
    <t xml:space="preserve">Feed to Gain </t>
  </si>
  <si>
    <t>(will fill in after feed information is entered)</t>
  </si>
  <si>
    <t>Feed Costs</t>
  </si>
  <si>
    <t>To calculate feed costs, enter feed information on the Drylot Lamb Finishing Feed Cost Tab</t>
  </si>
  <si>
    <t>Feed cost per head per day</t>
  </si>
  <si>
    <t>Feed cost per pound of gain</t>
  </si>
  <si>
    <t>Total feed costs per head</t>
  </si>
  <si>
    <t>Veterinary, Pharmaceutical and Health Costs</t>
  </si>
  <si>
    <t>Cost/Group</t>
  </si>
  <si>
    <t>Vaccine CD &amp;T</t>
  </si>
  <si>
    <t>Syringes &amp; Needles</t>
  </si>
  <si>
    <t>de-wormer</t>
  </si>
  <si>
    <t>total treatment for sick ones</t>
  </si>
  <si>
    <t>Other Expenses</t>
  </si>
  <si>
    <t>Death losses</t>
  </si>
  <si>
    <t>%</t>
  </si>
  <si>
    <t>Interest cost, lambs</t>
  </si>
  <si>
    <t>$</t>
  </si>
  <si>
    <t>%APR</t>
  </si>
  <si>
    <t>assumes 100% borrowed</t>
  </si>
  <si>
    <t>Interest cost, feed</t>
  </si>
  <si>
    <t>Bedding Calculator</t>
  </si>
  <si>
    <t>$/hd</t>
  </si>
  <si>
    <t>tons of bedding used by group</t>
  </si>
  <si>
    <t>Other supplies</t>
  </si>
  <si>
    <t>$/ton--- cost or value of bedding</t>
  </si>
  <si>
    <t xml:space="preserve">Transportation </t>
  </si>
  <si>
    <t>$/ group</t>
  </si>
  <si>
    <t>Marketing costs</t>
  </si>
  <si>
    <t>Taxes and Insurance</t>
  </si>
  <si>
    <t>Misc.</t>
  </si>
  <si>
    <t>total</t>
  </si>
  <si>
    <t>Total other livestock costs</t>
  </si>
  <si>
    <t>Yardage</t>
  </si>
  <si>
    <t>$/hd/d</t>
  </si>
  <si>
    <t>Cost per Pound of Gain</t>
  </si>
  <si>
    <t>$/pound of gain</t>
  </si>
  <si>
    <t>Return to Resources</t>
  </si>
  <si>
    <t>Estimated Receipts</t>
  </si>
  <si>
    <t>Variable Expenses (Expenses except yardage)</t>
  </si>
  <si>
    <t>Return to Labor, Management &amp; Capital</t>
  </si>
  <si>
    <t>Fixed Expenses</t>
  </si>
  <si>
    <t>Return to Labor and Management</t>
  </si>
  <si>
    <t>Breakeven Analysis</t>
  </si>
  <si>
    <t>Breakeven sell price per pound</t>
  </si>
  <si>
    <t>Breakeven cost less marketing cost</t>
  </si>
  <si>
    <t>Breakeven feeder lamb purchase price</t>
  </si>
  <si>
    <t>Calculate feed costs from an as-fed basis</t>
  </si>
  <si>
    <t>Enter average lbs. fed per head per day on an as-fed basis for receiving period</t>
  </si>
  <si>
    <t>Ingredient</t>
  </si>
  <si>
    <t>As-fed lbs./hd/d</t>
  </si>
  <si>
    <t>Ingredient DM, %</t>
  </si>
  <si>
    <t>Total DM, lbs.</t>
  </si>
  <si>
    <t>Total As-fed lbs.</t>
  </si>
  <si>
    <t>Price</t>
  </si>
  <si>
    <t>Cost/ Head</t>
  </si>
  <si>
    <t>Corn</t>
  </si>
  <si>
    <t>$/bu.</t>
  </si>
  <si>
    <t>$/ton</t>
  </si>
  <si>
    <t>Sheep balancer pellet</t>
  </si>
  <si>
    <t>Hay</t>
  </si>
  <si>
    <t>Haylage</t>
  </si>
  <si>
    <t>Mineral in oz/head/day</t>
  </si>
  <si>
    <t>$/50 lb. bag</t>
  </si>
  <si>
    <t>Salt in oz/head/day</t>
  </si>
  <si>
    <t>Feed to Gain</t>
  </si>
  <si>
    <t>Feed cost per pound of ration as fed</t>
  </si>
  <si>
    <t>Feed cost per pound dry matter basis</t>
  </si>
  <si>
    <t>Bag to Ton Price Converter</t>
  </si>
  <si>
    <t>Price $/bag</t>
  </si>
  <si>
    <t>lb./bag</t>
  </si>
  <si>
    <t>56 lb./bu@ 15.5% moisture</t>
  </si>
  <si>
    <t>Bushel to Ton Price Converter</t>
  </si>
  <si>
    <t>32 lb./bu @ 14% moisture</t>
  </si>
  <si>
    <t>Price $/bu</t>
  </si>
  <si>
    <t>Barley</t>
  </si>
  <si>
    <t>48 lb./bu @ 14.5% moisture</t>
  </si>
  <si>
    <t>lb./bu</t>
  </si>
  <si>
    <t>Soybeans</t>
  </si>
  <si>
    <t>60 lb./bu @ 13% moisture</t>
  </si>
  <si>
    <t>Enter values in blue boxes, yellow, calculated numbers.</t>
  </si>
  <si>
    <t>Some pasture costs may not be incurred every year, (seed, weed control, etc.) a prorated cost should be entered to reflect the annual cost.</t>
  </si>
  <si>
    <t>Initial fencing cost can either be included in pasture rent cost or entered in the fencing line, fence repairs should be entered in the fence line</t>
  </si>
  <si>
    <t>Information on fencing costs can be found at this website</t>
  </si>
  <si>
    <t>Iowa State Extension Estimated Costs for Livestock Fencing</t>
  </si>
  <si>
    <t>Number of acres used for all lambs finished</t>
  </si>
  <si>
    <t>ac</t>
  </si>
  <si>
    <t>ac/hd</t>
  </si>
  <si>
    <t>Pasture rent per acre (actual or opportunity cost)</t>
  </si>
  <si>
    <t>$/ac</t>
  </si>
  <si>
    <t xml:space="preserve">Seed costs </t>
  </si>
  <si>
    <t>Fertilizer &amp; Lime</t>
  </si>
  <si>
    <t xml:space="preserve">Fencing </t>
  </si>
  <si>
    <t>Weed control</t>
  </si>
  <si>
    <t xml:space="preserve">Equipment </t>
  </si>
  <si>
    <t>Other</t>
  </si>
  <si>
    <t xml:space="preserve">Total Pasture Costs </t>
  </si>
  <si>
    <t>Additional Home Grown and Purchased Feed Costs</t>
  </si>
  <si>
    <t>To calculate feed costs, enter feed information on the Pasture Lamb Finishing Feed Tab</t>
  </si>
  <si>
    <t>Feed cost for drylot time</t>
  </si>
  <si>
    <t>Supplemental feed cost while on pasture</t>
  </si>
  <si>
    <t>Cost of pasture</t>
  </si>
  <si>
    <t>Overall feed cost per pound of gain</t>
  </si>
  <si>
    <t>$/hd.</t>
  </si>
  <si>
    <t>Variable Expenses (Expenses except yardage and pasture rent)</t>
  </si>
  <si>
    <t>$/lb</t>
  </si>
  <si>
    <t>This section is for all feeds either home grown or purchased that are fed to the lambs in addition to the feed they graze from the pasture</t>
  </si>
  <si>
    <t xml:space="preserve">There are two sections for entering feed, the first section is for feed that the lambs receive when they are in drylot for example during a </t>
  </si>
  <si>
    <t>receiving period or weaning period, the second section is for supplemental feed they receive while on pasture.</t>
  </si>
  <si>
    <t>Lamb feed when they are on drylot</t>
  </si>
  <si>
    <t>Days Fed</t>
  </si>
  <si>
    <t>Other grain</t>
  </si>
  <si>
    <t>Supplemental while on pasture</t>
  </si>
  <si>
    <t>Days fed</t>
  </si>
  <si>
    <t>60 lb/bu @ 13% moisture</t>
  </si>
  <si>
    <t xml:space="preserve">Total Group </t>
  </si>
  <si>
    <t>Feed Cost</t>
  </si>
  <si>
    <t>DM lbs./hd/day</t>
  </si>
  <si>
    <t>Cost/Acre</t>
  </si>
  <si>
    <t>Total Group</t>
  </si>
  <si>
    <t>Common standard bushel weights</t>
  </si>
  <si>
    <t>feed cost/</t>
  </si>
  <si>
    <t>lb lamb sold</t>
  </si>
  <si>
    <t>Sensitivity Analysis</t>
  </si>
  <si>
    <t>UW Extension Drylot Lamb Finishing Enterprise Budget version 1.0</t>
  </si>
  <si>
    <t>UW Extension Pasture Lamb Finishing Enterprise Budget version 1.0</t>
  </si>
  <si>
    <t xml:space="preserve">Spreadsheet developed by: </t>
  </si>
  <si>
    <t>Tiberious ram lamb</t>
  </si>
  <si>
    <t>$/Group</t>
  </si>
  <si>
    <r>
      <t xml:space="preserve"> </t>
    </r>
    <r>
      <rPr>
        <i/>
        <sz val="14"/>
        <color rgb="FF000000"/>
        <rFont val="Calibri"/>
        <family val="2"/>
      </rPr>
      <t>Bill Halfman, Carolyn Ihde, and Amanda Cauffman</t>
    </r>
  </si>
  <si>
    <t xml:space="preserve">adapted from the UW Extension cow-calf enterprise budget </t>
  </si>
  <si>
    <t>Agriculture Agent in Monroe County, Extension Educators in Crawford/ Richland and Grant Counties</t>
  </si>
  <si>
    <t>Reviewed by: Tim Jergenson, retired UW Extension Agriculture Agent</t>
  </si>
  <si>
    <t>Total feed costs (purchased, homegrown harvested and total pasture)</t>
  </si>
  <si>
    <t>Gross Revenue</t>
  </si>
  <si>
    <t>$ Value/unit*</t>
  </si>
  <si>
    <t>Cost/unit*</t>
  </si>
  <si>
    <t>$  Value/unit*</t>
  </si>
  <si>
    <t>Estimated % Allocated to ewe flock</t>
  </si>
  <si>
    <t>56 lb./bu @ 15.5% moisture</t>
  </si>
  <si>
    <t>Daily yardage -</t>
  </si>
  <si>
    <t xml:space="preserve"> (not including labor)</t>
  </si>
  <si>
    <t>See the directions for an explanation of yardage.</t>
  </si>
  <si>
    <t>lb. DM/lb. gain</t>
  </si>
  <si>
    <t xml:space="preserve">Daily yardage - </t>
  </si>
  <si>
    <t>(not including labor)</t>
  </si>
  <si>
    <t>This is a caculation of the total cost per pound that the animal gains while being fed out, not the cost per pound sold.</t>
  </si>
  <si>
    <t>updated 2-06-23</t>
  </si>
  <si>
    <t>Pasture expenses that are routinely done every 2 to 3 years can be pro-rated to represent the annual share of that cost.</t>
  </si>
  <si>
    <t>updated 10/08/2025</t>
  </si>
  <si>
    <t>First Time Lambing Ewes</t>
  </si>
  <si>
    <t>Young Replacements not Lambing</t>
  </si>
  <si>
    <t>updated 11-17-25</t>
  </si>
  <si>
    <t>UW Extension Ewe Flock Enterprise Budget version 1.1</t>
  </si>
  <si>
    <t>UW Extension Sheep Operation Enterprise Budget version 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</si>
</sst>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0_);[Red]\(&quot;$&quot;#,##0\)"/>
    <numFmt numFmtId="8" formatCode="&quot;$&quot;#,##0.00_);[Red]\(&quot;$&quot;#,##0.00\)"/>
    <numFmt numFmtId="44" formatCode="_(&quot;$&quot;* #,##0.00_);_(&quot;$&quot;* \(#,##0.00\);_(&quot;$&quot;* &quot;-&quot;??_);_(@_)"/>
    <numFmt numFmtId="43" formatCode="_(* #,##0.00_);_(* \(#,##0.00\);_(* &quot;-&quot;??_);_(@_)"/>
    <numFmt numFmtId="164" formatCode="&quot;$&quot;#,##0.00"/>
    <numFmt numFmtId="165" formatCode="0.0%"/>
    <numFmt numFmtId="166" formatCode="0.0"/>
    <numFmt numFmtId="167" formatCode="0.0000"/>
  </numFmts>
  <fonts count="28" x14ac:knownFonts="1">
    <font>
      <sz val="11"/>
      <color rgb="FF000000"/>
      <name val="Calibri"/>
    </font>
    <font>
      <b/>
      <sz val="14"/>
      <color rgb="FF000000"/>
      <name val="Calibri"/>
      <family val="2"/>
    </font>
    <font>
      <sz val="14"/>
      <color rgb="FF000000"/>
      <name val="Calibri"/>
      <family val="2"/>
    </font>
    <font>
      <sz val="14"/>
      <name val="Calibri"/>
      <family val="2"/>
    </font>
    <font>
      <sz val="14"/>
      <color rgb="FF000000"/>
      <name val="Calibri"/>
      <family val="2"/>
    </font>
    <font>
      <b/>
      <sz val="14"/>
      <color rgb="FF000000"/>
      <name val="Calibri"/>
      <family val="2"/>
    </font>
    <font>
      <b/>
      <sz val="11"/>
      <color rgb="FF000000"/>
      <name val="Calibri"/>
      <family val="2"/>
    </font>
    <font>
      <sz val="16"/>
      <color rgb="FF000000"/>
      <name val="Calibri"/>
      <family val="2"/>
    </font>
    <font>
      <sz val="12"/>
      <color rgb="FF000000"/>
      <name val="Calibri"/>
      <family val="2"/>
    </font>
    <font>
      <i/>
      <sz val="14"/>
      <color rgb="FF000000"/>
      <name val="Calibri"/>
      <family val="2"/>
    </font>
    <font>
      <b/>
      <sz val="14"/>
      <name val="Calibri"/>
      <family val="2"/>
    </font>
    <font>
      <sz val="11"/>
      <color rgb="FF000000"/>
      <name val="Calibri"/>
      <family val="2"/>
    </font>
    <font>
      <sz val="14"/>
      <name val="Calibri"/>
      <family val="2"/>
    </font>
    <font>
      <b/>
      <sz val="14"/>
      <color theme="0"/>
      <name val="Calibri"/>
      <family val="2"/>
    </font>
    <font>
      <sz val="14"/>
      <color theme="0"/>
      <name val="Calibri"/>
      <family val="2"/>
    </font>
    <font>
      <b/>
      <sz val="10"/>
      <name val="Arial"/>
      <family val="2"/>
    </font>
    <font>
      <sz val="10"/>
      <name val="Arial"/>
      <family val="2"/>
    </font>
    <font>
      <b/>
      <sz val="10"/>
      <color rgb="FFDD0806"/>
      <name val="Arial"/>
      <family val="2"/>
    </font>
    <font>
      <b/>
      <sz val="10"/>
      <color rgb="FF000000"/>
      <name val="Arial"/>
      <family val="2"/>
    </font>
    <font>
      <sz val="10"/>
      <color rgb="FF000000"/>
      <name val="Arial"/>
      <family val="2"/>
    </font>
    <font>
      <b/>
      <sz val="10"/>
      <color theme="0"/>
      <name val="Arial"/>
      <family val="2"/>
    </font>
    <font>
      <i/>
      <sz val="10"/>
      <color rgb="FF000000"/>
      <name val="Arial"/>
      <family val="2"/>
    </font>
    <font>
      <sz val="10"/>
      <color theme="0"/>
      <name val="Arial"/>
      <family val="2"/>
    </font>
    <font>
      <i/>
      <sz val="10"/>
      <name val="Arial"/>
      <family val="2"/>
    </font>
    <font>
      <sz val="10"/>
      <color rgb="FFFFFFFF"/>
      <name val="Arial"/>
      <family val="2"/>
    </font>
    <font>
      <u/>
      <sz val="11"/>
      <color theme="10"/>
      <name val="Calibri"/>
      <family val="2"/>
    </font>
    <font>
      <sz val="12"/>
      <color theme="0"/>
      <name val="Calibri"/>
      <family val="2"/>
    </font>
    <font>
      <sz val="11"/>
      <color rgb="FF000000"/>
      <name val="Calibri"/>
      <family val="2"/>
    </font>
  </fonts>
  <fills count="33">
    <fill>
      <patternFill patternType="none"/>
    </fill>
    <fill>
      <patternFill patternType="gray125"/>
    </fill>
    <fill>
      <patternFill patternType="solid">
        <fgColor rgb="FFDEEAF6"/>
        <bgColor rgb="FFDEEAF6"/>
      </patternFill>
    </fill>
    <fill>
      <patternFill patternType="solid">
        <fgColor rgb="FFFEF2CB"/>
        <bgColor rgb="FFFEF2CB"/>
      </patternFill>
    </fill>
    <fill>
      <patternFill patternType="solid">
        <fgColor rgb="FFFFFF99"/>
        <bgColor rgb="FFFFFF99"/>
      </patternFill>
    </fill>
    <fill>
      <patternFill patternType="solid">
        <fgColor rgb="FFFFCCFF"/>
        <bgColor rgb="FFFFCCFF"/>
      </patternFill>
    </fill>
    <fill>
      <patternFill patternType="solid">
        <fgColor theme="7" tint="0.79998168889431442"/>
        <bgColor indexed="64"/>
      </patternFill>
    </fill>
    <fill>
      <patternFill patternType="solid">
        <fgColor rgb="FFFFCCFF"/>
        <bgColor indexed="64"/>
      </patternFill>
    </fill>
    <fill>
      <patternFill patternType="solid">
        <fgColor rgb="FFFFFF99"/>
        <bgColor indexed="64"/>
      </patternFill>
    </fill>
    <fill>
      <patternFill patternType="solid">
        <fgColor theme="4" tint="0.79998168889431442"/>
        <bgColor rgb="FFFFFF99"/>
      </patternFill>
    </fill>
    <fill>
      <patternFill patternType="solid">
        <fgColor theme="4" tint="0.79998168889431442"/>
        <bgColor indexed="64"/>
      </patternFill>
    </fill>
    <fill>
      <patternFill patternType="solid">
        <fgColor rgb="FFFFFF00"/>
        <bgColor indexed="64"/>
      </patternFill>
    </fill>
    <fill>
      <patternFill patternType="solid">
        <fgColor rgb="FFFFC000"/>
        <bgColor indexed="64"/>
      </patternFill>
    </fill>
    <fill>
      <patternFill patternType="solid">
        <fgColor rgb="FFFECCF3"/>
        <bgColor indexed="64"/>
      </patternFill>
    </fill>
    <fill>
      <patternFill patternType="solid">
        <fgColor theme="1"/>
        <bgColor indexed="64"/>
      </patternFill>
    </fill>
    <fill>
      <patternFill patternType="solid">
        <fgColor theme="1"/>
        <bgColor rgb="FFDEEAF6"/>
      </patternFill>
    </fill>
    <fill>
      <patternFill patternType="solid">
        <fgColor theme="1"/>
        <bgColor rgb="FFFFFF99"/>
      </patternFill>
    </fill>
    <fill>
      <patternFill patternType="solid">
        <fgColor theme="1"/>
        <bgColor rgb="FFFFCCFF"/>
      </patternFill>
    </fill>
    <fill>
      <patternFill patternType="solid">
        <fgColor theme="1"/>
        <bgColor rgb="FFFEF2CB"/>
      </patternFill>
    </fill>
    <fill>
      <patternFill patternType="solid">
        <fgColor rgb="FFFFEAD5"/>
        <bgColor indexed="64"/>
      </patternFill>
    </fill>
    <fill>
      <patternFill patternType="solid">
        <fgColor rgb="FFFFE2C5"/>
        <bgColor indexed="64"/>
      </patternFill>
    </fill>
    <fill>
      <patternFill patternType="solid">
        <fgColor rgb="FFC6D9F0"/>
        <bgColor rgb="FFC6D9F0"/>
      </patternFill>
    </fill>
    <fill>
      <patternFill patternType="solid">
        <fgColor theme="4" tint="0.79998168889431442"/>
        <bgColor rgb="FF99CCFF"/>
      </patternFill>
    </fill>
    <fill>
      <patternFill patternType="solid">
        <fgColor theme="4" tint="0.79998168889431442"/>
        <bgColor rgb="FFC6D9F0"/>
      </patternFill>
    </fill>
    <fill>
      <patternFill patternType="solid">
        <fgColor rgb="FFFFFF99"/>
        <bgColor rgb="FFBFBFBF"/>
      </patternFill>
    </fill>
    <fill>
      <patternFill patternType="solid">
        <fgColor rgb="FFFFFF99"/>
        <bgColor rgb="FFC0C0C0"/>
      </patternFill>
    </fill>
    <fill>
      <patternFill patternType="solid">
        <fgColor rgb="FFFFFF99"/>
        <bgColor rgb="FFD8D8D8"/>
      </patternFill>
    </fill>
    <fill>
      <patternFill patternType="solid">
        <fgColor rgb="FFFFFF99"/>
        <bgColor rgb="FF99CCFF"/>
      </patternFill>
    </fill>
    <fill>
      <patternFill patternType="solid">
        <fgColor rgb="FFA0F395"/>
        <bgColor indexed="64"/>
      </patternFill>
    </fill>
    <fill>
      <patternFill patternType="solid">
        <fgColor theme="2" tint="-9.9978637043366805E-2"/>
        <bgColor indexed="64"/>
      </patternFill>
    </fill>
    <fill>
      <patternFill patternType="solid">
        <fgColor rgb="FFFFFF99"/>
        <bgColor rgb="FFB8CCE4"/>
      </patternFill>
    </fill>
    <fill>
      <patternFill patternType="solid">
        <fgColor rgb="FFCCFF99"/>
        <bgColor indexed="64"/>
      </patternFill>
    </fill>
    <fill>
      <patternFill patternType="solid">
        <fgColor rgb="FFFFFFCC"/>
        <bgColor indexed="64"/>
      </patternFill>
    </fill>
  </fills>
  <borders count="26">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right style="thin">
        <color indexed="64"/>
      </right>
      <top style="thin">
        <color rgb="FF000000"/>
      </top>
      <bottom style="thin">
        <color rgb="FF000000"/>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rgb="FF000000"/>
      </top>
      <bottom style="thin">
        <color indexed="64"/>
      </bottom>
      <diagonal/>
    </border>
    <border>
      <left/>
      <right/>
      <top/>
      <bottom style="thin">
        <color indexed="64"/>
      </bottom>
      <diagonal/>
    </border>
    <border>
      <left/>
      <right style="thin">
        <color rgb="FF000000"/>
      </right>
      <top style="thin">
        <color rgb="FF000000"/>
      </top>
      <bottom style="thin">
        <color indexed="64"/>
      </bottom>
      <diagonal/>
    </border>
    <border>
      <left/>
      <right style="thin">
        <color rgb="FF000000"/>
      </right>
      <top style="thin">
        <color indexed="64"/>
      </top>
      <bottom style="thin">
        <color indexed="64"/>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right/>
      <top/>
      <bottom style="thin">
        <color rgb="FF000000"/>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rgb="FF000000"/>
      </left>
      <right/>
      <top/>
      <bottom/>
      <diagonal/>
    </border>
    <border>
      <left/>
      <right/>
      <top/>
      <bottom style="medium">
        <color rgb="FF000000"/>
      </bottom>
      <diagonal/>
    </border>
    <border>
      <left style="thin">
        <color rgb="FF000000"/>
      </left>
      <right style="thin">
        <color rgb="FF000000"/>
      </right>
      <top/>
      <bottom/>
      <diagonal/>
    </border>
  </borders>
  <cellStyleXfs count="3">
    <xf numFmtId="0" fontId="0" fillId="0" borderId="0"/>
    <xf numFmtId="0" fontId="25" fillId="0" borderId="0" applyNumberFormat="0" applyFill="0" applyBorder="0" applyAlignment="0" applyProtection="0"/>
    <xf numFmtId="44" fontId="27" fillId="0" borderId="0" applyFont="0" applyFill="0" applyBorder="0" applyAlignment="0" applyProtection="0"/>
  </cellStyleXfs>
  <cellXfs count="360">
    <xf numFmtId="0" fontId="0" fillId="0" borderId="0" xfId="0"/>
    <xf numFmtId="0" fontId="1" fillId="0" borderId="0" xfId="0" applyFont="1"/>
    <xf numFmtId="0" fontId="2" fillId="0" borderId="0" xfId="0" applyFont="1"/>
    <xf numFmtId="0" fontId="2" fillId="0" borderId="1" xfId="0" applyFont="1" applyBorder="1"/>
    <xf numFmtId="0" fontId="2" fillId="3" borderId="2" xfId="0" applyFont="1" applyFill="1" applyBorder="1"/>
    <xf numFmtId="0" fontId="2" fillId="0" borderId="1" xfId="0" applyFont="1" applyBorder="1" applyAlignment="1">
      <alignment horizontal="center"/>
    </xf>
    <xf numFmtId="0" fontId="2" fillId="4" borderId="1" xfId="0" applyFont="1" applyFill="1" applyBorder="1"/>
    <xf numFmtId="0" fontId="1" fillId="0" borderId="0" xfId="0" applyFont="1" applyAlignment="1">
      <alignment wrapText="1"/>
    </xf>
    <xf numFmtId="0" fontId="2" fillId="0" borderId="0" xfId="0" applyFont="1" applyAlignment="1">
      <alignment wrapText="1"/>
    </xf>
    <xf numFmtId="0" fontId="2" fillId="0" borderId="1" xfId="0" applyFont="1" applyBorder="1" applyAlignment="1">
      <alignment wrapText="1"/>
    </xf>
    <xf numFmtId="0" fontId="2" fillId="0" borderId="1" xfId="0" applyFont="1" applyBorder="1" applyAlignment="1">
      <alignment horizontal="center" wrapText="1"/>
    </xf>
    <xf numFmtId="164" fontId="2" fillId="5" borderId="1" xfId="0" applyNumberFormat="1" applyFont="1" applyFill="1" applyBorder="1"/>
    <xf numFmtId="164" fontId="2" fillId="3" borderId="1" xfId="0" applyNumberFormat="1" applyFont="1" applyFill="1" applyBorder="1"/>
    <xf numFmtId="164" fontId="1" fillId="4" borderId="1" xfId="0" applyNumberFormat="1" applyFont="1" applyFill="1" applyBorder="1"/>
    <xf numFmtId="164" fontId="1" fillId="5" borderId="1" xfId="0" applyNumberFormat="1" applyFont="1" applyFill="1" applyBorder="1"/>
    <xf numFmtId="164" fontId="1" fillId="3" borderId="1" xfId="0" applyNumberFormat="1" applyFont="1" applyFill="1" applyBorder="1"/>
    <xf numFmtId="164" fontId="2" fillId="4" borderId="1" xfId="0" applyNumberFormat="1" applyFont="1" applyFill="1" applyBorder="1"/>
    <xf numFmtId="0" fontId="3" fillId="0" borderId="0" xfId="0" applyFont="1" applyAlignment="1">
      <alignment wrapText="1"/>
    </xf>
    <xf numFmtId="0" fontId="3" fillId="0" borderId="3" xfId="0" applyFont="1" applyBorder="1" applyAlignment="1">
      <alignment wrapText="1"/>
    </xf>
    <xf numFmtId="0" fontId="2" fillId="0" borderId="4" xfId="0" applyFont="1" applyBorder="1"/>
    <xf numFmtId="0" fontId="2" fillId="0" borderId="5" xfId="0" applyFont="1" applyBorder="1"/>
    <xf numFmtId="0" fontId="3" fillId="0" borderId="3" xfId="0" applyFont="1" applyBorder="1"/>
    <xf numFmtId="0" fontId="3" fillId="0" borderId="4" xfId="0" applyFont="1" applyBorder="1" applyAlignment="1">
      <alignment wrapText="1"/>
    </xf>
    <xf numFmtId="0" fontId="1" fillId="0" borderId="3" xfId="0" applyFont="1" applyBorder="1"/>
    <xf numFmtId="0" fontId="1" fillId="0" borderId="4" xfId="0" applyFont="1" applyBorder="1"/>
    <xf numFmtId="0" fontId="1" fillId="0" borderId="5" xfId="0" applyFont="1" applyBorder="1"/>
    <xf numFmtId="0" fontId="2" fillId="0" borderId="3" xfId="0" applyFont="1" applyBorder="1" applyAlignment="1">
      <alignment wrapText="1"/>
    </xf>
    <xf numFmtId="0" fontId="2" fillId="0" borderId="3" xfId="0" applyFont="1" applyBorder="1"/>
    <xf numFmtId="0" fontId="2" fillId="0" borderId="4" xfId="0" applyFont="1" applyBorder="1" applyAlignment="1">
      <alignment horizontal="center"/>
    </xf>
    <xf numFmtId="0" fontId="2" fillId="0" borderId="5" xfId="0" applyFont="1" applyBorder="1" applyAlignment="1">
      <alignment horizontal="center"/>
    </xf>
    <xf numFmtId="0" fontId="2" fillId="0" borderId="5" xfId="0" applyFont="1" applyBorder="1" applyAlignment="1">
      <alignment horizontal="center" wrapText="1"/>
    </xf>
    <xf numFmtId="0" fontId="5" fillId="0" borderId="0" xfId="0" applyFont="1"/>
    <xf numFmtId="164" fontId="1" fillId="0" borderId="0" xfId="0" applyNumberFormat="1" applyFont="1"/>
    <xf numFmtId="164" fontId="1" fillId="4" borderId="7" xfId="0" applyNumberFormat="1" applyFont="1" applyFill="1" applyBorder="1"/>
    <xf numFmtId="164" fontId="1" fillId="5" borderId="7" xfId="0" applyNumberFormat="1" applyFont="1" applyFill="1" applyBorder="1"/>
    <xf numFmtId="164" fontId="1" fillId="3" borderId="7" xfId="0" applyNumberFormat="1" applyFont="1" applyFill="1" applyBorder="1"/>
    <xf numFmtId="164" fontId="2" fillId="8" borderId="6" xfId="0" applyNumberFormat="1" applyFont="1" applyFill="1" applyBorder="1"/>
    <xf numFmtId="164" fontId="2" fillId="7" borderId="6" xfId="0" applyNumberFormat="1" applyFont="1" applyFill="1" applyBorder="1"/>
    <xf numFmtId="164" fontId="2" fillId="6" borderId="6" xfId="0" applyNumberFormat="1" applyFont="1" applyFill="1" applyBorder="1"/>
    <xf numFmtId="0" fontId="4" fillId="0" borderId="4" xfId="0" applyFont="1" applyBorder="1"/>
    <xf numFmtId="0" fontId="2" fillId="0" borderId="8" xfId="0" applyFont="1" applyBorder="1"/>
    <xf numFmtId="164" fontId="5" fillId="6" borderId="6" xfId="0" applyNumberFormat="1" applyFont="1" applyFill="1" applyBorder="1"/>
    <xf numFmtId="164" fontId="2" fillId="0" borderId="4" xfId="0" applyNumberFormat="1" applyFont="1" applyBorder="1"/>
    <xf numFmtId="0" fontId="0" fillId="0" borderId="0" xfId="0" applyAlignment="1">
      <alignment wrapText="1"/>
    </xf>
    <xf numFmtId="164" fontId="1" fillId="8" borderId="6" xfId="0" applyNumberFormat="1" applyFont="1" applyFill="1" applyBorder="1"/>
    <xf numFmtId="164" fontId="1" fillId="7" borderId="6" xfId="0" applyNumberFormat="1" applyFont="1" applyFill="1" applyBorder="1"/>
    <xf numFmtId="164" fontId="1" fillId="6" borderId="6" xfId="0" applyNumberFormat="1" applyFont="1" applyFill="1" applyBorder="1"/>
    <xf numFmtId="0" fontId="5" fillId="0" borderId="0" xfId="0" applyFont="1" applyAlignment="1">
      <alignment wrapText="1"/>
    </xf>
    <xf numFmtId="0" fontId="6" fillId="0" borderId="0" xfId="0" applyFont="1"/>
    <xf numFmtId="164" fontId="5" fillId="8" borderId="6" xfId="0" applyNumberFormat="1" applyFont="1" applyFill="1" applyBorder="1"/>
    <xf numFmtId="164" fontId="5" fillId="7" borderId="6" xfId="0" applyNumberFormat="1" applyFont="1" applyFill="1" applyBorder="1"/>
    <xf numFmtId="0" fontId="2" fillId="2" borderId="1" xfId="0" applyFont="1" applyFill="1" applyBorder="1" applyProtection="1">
      <protection locked="0"/>
    </xf>
    <xf numFmtId="164" fontId="2" fillId="2" borderId="1" xfId="0" applyNumberFormat="1" applyFont="1" applyFill="1" applyBorder="1" applyProtection="1">
      <protection locked="0"/>
    </xf>
    <xf numFmtId="164" fontId="2" fillId="9" borderId="1" xfId="0" applyNumberFormat="1" applyFont="1" applyFill="1" applyBorder="1" applyProtection="1">
      <protection locked="0"/>
    </xf>
    <xf numFmtId="0" fontId="4" fillId="0" borderId="0" xfId="0" applyFont="1"/>
    <xf numFmtId="0" fontId="2" fillId="0" borderId="6" xfId="0" applyFont="1" applyBorder="1"/>
    <xf numFmtId="164" fontId="5" fillId="0" borderId="6" xfId="0" applyNumberFormat="1" applyFont="1" applyBorder="1"/>
    <xf numFmtId="164" fontId="5" fillId="11" borderId="6" xfId="0" applyNumberFormat="1" applyFont="1" applyFill="1" applyBorder="1"/>
    <xf numFmtId="0" fontId="2" fillId="0" borderId="2" xfId="0" applyFont="1" applyBorder="1"/>
    <xf numFmtId="0" fontId="2" fillId="2" borderId="3" xfId="0" applyFont="1" applyFill="1" applyBorder="1" applyProtection="1">
      <protection locked="0"/>
    </xf>
    <xf numFmtId="0" fontId="2" fillId="10" borderId="6" xfId="0" applyFont="1" applyFill="1" applyBorder="1" applyProtection="1">
      <protection locked="0"/>
    </xf>
    <xf numFmtId="0" fontId="2" fillId="2" borderId="2" xfId="0" applyFont="1" applyFill="1" applyBorder="1" applyProtection="1">
      <protection locked="0"/>
    </xf>
    <xf numFmtId="164" fontId="2" fillId="2" borderId="2" xfId="0" applyNumberFormat="1" applyFont="1" applyFill="1" applyBorder="1" applyProtection="1">
      <protection locked="0"/>
    </xf>
    <xf numFmtId="0" fontId="5" fillId="0" borderId="4" xfId="0" applyFont="1" applyBorder="1" applyProtection="1">
      <protection locked="0"/>
    </xf>
    <xf numFmtId="0" fontId="5" fillId="0" borderId="5" xfId="0" applyFont="1" applyBorder="1" applyProtection="1">
      <protection locked="0"/>
    </xf>
    <xf numFmtId="0" fontId="5" fillId="0" borderId="3" xfId="0" applyFont="1" applyBorder="1" applyProtection="1">
      <protection locked="0"/>
    </xf>
    <xf numFmtId="164" fontId="2" fillId="4" borderId="2" xfId="0" applyNumberFormat="1" applyFont="1" applyFill="1" applyBorder="1"/>
    <xf numFmtId="0" fontId="5" fillId="0" borderId="9" xfId="0" applyFont="1" applyBorder="1"/>
    <xf numFmtId="0" fontId="5" fillId="0" borderId="3" xfId="0" applyFont="1" applyBorder="1"/>
    <xf numFmtId="0" fontId="4" fillId="0" borderId="0" xfId="0" applyFont="1" applyAlignment="1">
      <alignment horizontal="center"/>
    </xf>
    <xf numFmtId="0" fontId="1" fillId="12" borderId="0" xfId="0" applyFont="1" applyFill="1"/>
    <xf numFmtId="0" fontId="2" fillId="12" borderId="0" xfId="0" applyFont="1" applyFill="1"/>
    <xf numFmtId="8" fontId="1" fillId="4" borderId="1" xfId="0" applyNumberFormat="1" applyFont="1" applyFill="1" applyBorder="1"/>
    <xf numFmtId="8" fontId="1" fillId="5" borderId="1" xfId="0" applyNumberFormat="1" applyFont="1" applyFill="1" applyBorder="1"/>
    <xf numFmtId="8" fontId="1" fillId="3" borderId="1" xfId="0" applyNumberFormat="1" applyFont="1" applyFill="1" applyBorder="1"/>
    <xf numFmtId="8" fontId="5" fillId="8" borderId="6" xfId="0" applyNumberFormat="1" applyFont="1" applyFill="1" applyBorder="1"/>
    <xf numFmtId="8" fontId="5" fillId="7" borderId="6" xfId="0" applyNumberFormat="1" applyFont="1" applyFill="1" applyBorder="1"/>
    <xf numFmtId="8" fontId="5" fillId="6" borderId="6" xfId="0" applyNumberFormat="1" applyFont="1" applyFill="1" applyBorder="1"/>
    <xf numFmtId="0" fontId="9" fillId="0" borderId="0" xfId="0" applyFont="1"/>
    <xf numFmtId="10" fontId="5" fillId="0" borderId="6" xfId="0" applyNumberFormat="1" applyFont="1" applyBorder="1"/>
    <xf numFmtId="10" fontId="5" fillId="0" borderId="6" xfId="0" applyNumberFormat="1" applyFont="1" applyBorder="1" applyAlignment="1">
      <alignment horizontal="right"/>
    </xf>
    <xf numFmtId="10" fontId="5" fillId="10" borderId="6" xfId="0" applyNumberFormat="1" applyFont="1" applyFill="1" applyBorder="1" applyAlignment="1" applyProtection="1">
      <alignment horizontal="right"/>
      <protection locked="0"/>
    </xf>
    <xf numFmtId="10" fontId="5" fillId="10" borderId="6" xfId="0" applyNumberFormat="1" applyFont="1" applyFill="1" applyBorder="1" applyProtection="1">
      <protection locked="0"/>
    </xf>
    <xf numFmtId="0" fontId="10" fillId="0" borderId="0" xfId="0" applyFont="1"/>
    <xf numFmtId="164" fontId="5" fillId="0" borderId="0" xfId="0" applyNumberFormat="1" applyFont="1"/>
    <xf numFmtId="164" fontId="4" fillId="10" borderId="6" xfId="0" applyNumberFormat="1" applyFont="1" applyFill="1" applyBorder="1" applyProtection="1">
      <protection locked="0"/>
    </xf>
    <xf numFmtId="9" fontId="4" fillId="10" borderId="6" xfId="0" applyNumberFormat="1" applyFont="1" applyFill="1" applyBorder="1" applyProtection="1">
      <protection locked="0"/>
    </xf>
    <xf numFmtId="164" fontId="4" fillId="4" borderId="6" xfId="0" applyNumberFormat="1" applyFont="1" applyFill="1" applyBorder="1"/>
    <xf numFmtId="164" fontId="4" fillId="5" borderId="6" xfId="0" applyNumberFormat="1" applyFont="1" applyFill="1" applyBorder="1"/>
    <xf numFmtId="164" fontId="4" fillId="3" borderId="6" xfId="0" applyNumberFormat="1" applyFont="1" applyFill="1" applyBorder="1"/>
    <xf numFmtId="0" fontId="2" fillId="0" borderId="9" xfId="0" applyFont="1" applyBorder="1"/>
    <xf numFmtId="0" fontId="2" fillId="0" borderId="11" xfId="0" applyFont="1" applyBorder="1"/>
    <xf numFmtId="0" fontId="12" fillId="0" borderId="0" xfId="0" applyFont="1"/>
    <xf numFmtId="0" fontId="4" fillId="0" borderId="1" xfId="0" applyFont="1" applyBorder="1" applyAlignment="1">
      <alignment horizontal="center" wrapText="1"/>
    </xf>
    <xf numFmtId="0" fontId="4" fillId="0" borderId="2" xfId="0" applyFont="1" applyBorder="1" applyAlignment="1">
      <alignment horizontal="center" wrapText="1"/>
    </xf>
    <xf numFmtId="0" fontId="2" fillId="0" borderId="2" xfId="0" applyFont="1" applyBorder="1" applyAlignment="1">
      <alignment horizontal="center" wrapText="1"/>
    </xf>
    <xf numFmtId="0" fontId="2" fillId="0" borderId="2" xfId="0" applyFont="1" applyBorder="1" applyAlignment="1">
      <alignment horizontal="center"/>
    </xf>
    <xf numFmtId="0" fontId="12" fillId="0" borderId="10" xfId="0" applyFont="1" applyBorder="1"/>
    <xf numFmtId="0" fontId="4" fillId="0" borderId="9" xfId="0" applyFont="1" applyBorder="1"/>
    <xf numFmtId="0" fontId="4" fillId="0" borderId="11" xfId="0" applyFont="1" applyBorder="1"/>
    <xf numFmtId="164" fontId="4" fillId="8" borderId="6" xfId="0" applyNumberFormat="1" applyFont="1" applyFill="1" applyBorder="1"/>
    <xf numFmtId="164" fontId="4" fillId="13" borderId="6" xfId="0" applyNumberFormat="1" applyFont="1" applyFill="1" applyBorder="1"/>
    <xf numFmtId="164" fontId="4" fillId="6" borderId="6" xfId="0" applyNumberFormat="1" applyFont="1" applyFill="1" applyBorder="1"/>
    <xf numFmtId="164" fontId="2" fillId="4" borderId="7" xfId="0" applyNumberFormat="1" applyFont="1" applyFill="1" applyBorder="1"/>
    <xf numFmtId="164" fontId="2" fillId="5" borderId="7" xfId="0" applyNumberFormat="1" applyFont="1" applyFill="1" applyBorder="1"/>
    <xf numFmtId="164" fontId="2" fillId="3" borderId="7" xfId="0" applyNumberFormat="1" applyFont="1" applyFill="1" applyBorder="1"/>
    <xf numFmtId="164" fontId="1" fillId="5" borderId="5" xfId="0" applyNumberFormat="1" applyFont="1" applyFill="1" applyBorder="1"/>
    <xf numFmtId="164" fontId="1" fillId="4" borderId="6" xfId="0" applyNumberFormat="1" applyFont="1" applyFill="1" applyBorder="1"/>
    <xf numFmtId="0" fontId="5" fillId="0" borderId="4" xfId="0" applyFont="1" applyBorder="1"/>
    <xf numFmtId="0" fontId="1" fillId="0" borderId="13" xfId="0" applyFont="1" applyBorder="1"/>
    <xf numFmtId="0" fontId="2" fillId="0" borderId="15" xfId="0" applyFont="1" applyBorder="1"/>
    <xf numFmtId="0" fontId="5" fillId="0" borderId="13" xfId="0" applyFont="1" applyBorder="1"/>
    <xf numFmtId="10" fontId="5" fillId="0" borderId="0" xfId="0" applyNumberFormat="1" applyFont="1" applyProtection="1">
      <protection locked="0"/>
    </xf>
    <xf numFmtId="8" fontId="2" fillId="0" borderId="0" xfId="0" applyNumberFormat="1" applyFont="1"/>
    <xf numFmtId="0" fontId="1" fillId="14" borderId="0" xfId="0" applyFont="1" applyFill="1"/>
    <xf numFmtId="0" fontId="2" fillId="14" borderId="0" xfId="0" applyFont="1" applyFill="1"/>
    <xf numFmtId="0" fontId="13" fillId="14" borderId="0" xfId="0" applyFont="1" applyFill="1"/>
    <xf numFmtId="0" fontId="2" fillId="14" borderId="0" xfId="0" applyFont="1" applyFill="1" applyAlignment="1">
      <alignment wrapText="1"/>
    </xf>
    <xf numFmtId="0" fontId="2" fillId="14" borderId="0" xfId="0" applyFont="1" applyFill="1" applyAlignment="1">
      <alignment horizontal="center" wrapText="1"/>
    </xf>
    <xf numFmtId="0" fontId="13" fillId="14" borderId="0" xfId="0" applyFont="1" applyFill="1" applyAlignment="1">
      <alignment wrapText="1"/>
    </xf>
    <xf numFmtId="0" fontId="5" fillId="14" borderId="0" xfId="0" applyFont="1" applyFill="1"/>
    <xf numFmtId="164" fontId="5" fillId="15" borderId="0" xfId="0" applyNumberFormat="1" applyFont="1" applyFill="1"/>
    <xf numFmtId="0" fontId="14" fillId="14" borderId="0" xfId="0" applyFont="1" applyFill="1" applyAlignment="1">
      <alignment wrapText="1"/>
    </xf>
    <xf numFmtId="0" fontId="14" fillId="14" borderId="0" xfId="0" applyFont="1" applyFill="1" applyAlignment="1">
      <alignment horizontal="center" wrapText="1"/>
    </xf>
    <xf numFmtId="164" fontId="1" fillId="14" borderId="0" xfId="0" applyNumberFormat="1" applyFont="1" applyFill="1"/>
    <xf numFmtId="0" fontId="1" fillId="0" borderId="12" xfId="0" applyFont="1" applyBorder="1"/>
    <xf numFmtId="0" fontId="1" fillId="0" borderId="14" xfId="0" applyFont="1" applyBorder="1"/>
    <xf numFmtId="0" fontId="1" fillId="0" borderId="9" xfId="0" applyFont="1" applyBorder="1"/>
    <xf numFmtId="0" fontId="2" fillId="0" borderId="16" xfId="0" applyFont="1" applyBorder="1"/>
    <xf numFmtId="0" fontId="2" fillId="0" borderId="17" xfId="0" applyFont="1" applyBorder="1"/>
    <xf numFmtId="0" fontId="2" fillId="0" borderId="18" xfId="0" applyFont="1" applyBorder="1"/>
    <xf numFmtId="0" fontId="1" fillId="0" borderId="15" xfId="0" applyFont="1" applyBorder="1"/>
    <xf numFmtId="0" fontId="4" fillId="0" borderId="2" xfId="0" applyFont="1" applyBorder="1"/>
    <xf numFmtId="0" fontId="1" fillId="0" borderId="11" xfId="0" applyFont="1" applyBorder="1"/>
    <xf numFmtId="0" fontId="10" fillId="0" borderId="9" xfId="0" applyFont="1" applyBorder="1"/>
    <xf numFmtId="0" fontId="1" fillId="0" borderId="19" xfId="0" applyFont="1" applyBorder="1"/>
    <xf numFmtId="0" fontId="5" fillId="0" borderId="9" xfId="0" applyFont="1" applyBorder="1" applyProtection="1">
      <protection locked="0"/>
    </xf>
    <xf numFmtId="164" fontId="5" fillId="0" borderId="9" xfId="0" applyNumberFormat="1" applyFont="1" applyBorder="1"/>
    <xf numFmtId="164" fontId="5" fillId="14" borderId="0" xfId="0" applyNumberFormat="1" applyFont="1" applyFill="1"/>
    <xf numFmtId="0" fontId="3" fillId="10" borderId="4" xfId="0" applyFont="1" applyFill="1" applyBorder="1" applyAlignment="1" applyProtection="1">
      <alignment wrapText="1"/>
      <protection locked="0"/>
    </xf>
    <xf numFmtId="0" fontId="2" fillId="10" borderId="4" xfId="0" applyFont="1" applyFill="1" applyBorder="1" applyProtection="1">
      <protection locked="0"/>
    </xf>
    <xf numFmtId="0" fontId="2" fillId="10" borderId="5" xfId="0" applyFont="1" applyFill="1" applyBorder="1" applyProtection="1">
      <protection locked="0"/>
    </xf>
    <xf numFmtId="0" fontId="0" fillId="10" borderId="17" xfId="0" applyFill="1" applyBorder="1" applyProtection="1">
      <protection locked="0"/>
    </xf>
    <xf numFmtId="0" fontId="2" fillId="10" borderId="17" xfId="0" applyFont="1" applyFill="1" applyBorder="1" applyProtection="1">
      <protection locked="0"/>
    </xf>
    <xf numFmtId="0" fontId="2" fillId="10" borderId="18" xfId="0" applyFont="1" applyFill="1" applyBorder="1" applyProtection="1">
      <protection locked="0"/>
    </xf>
    <xf numFmtId="0" fontId="4" fillId="0" borderId="5" xfId="0" applyFont="1" applyBorder="1" applyAlignment="1">
      <alignment horizontal="center" wrapText="1"/>
    </xf>
    <xf numFmtId="9" fontId="2" fillId="2" borderId="1" xfId="0" applyNumberFormat="1" applyFont="1" applyFill="1" applyBorder="1" applyProtection="1">
      <protection locked="0"/>
    </xf>
    <xf numFmtId="9" fontId="2" fillId="2" borderId="2" xfId="0" applyNumberFormat="1" applyFont="1" applyFill="1" applyBorder="1" applyProtection="1">
      <protection locked="0"/>
    </xf>
    <xf numFmtId="0" fontId="13" fillId="0" borderId="0" xfId="0" applyFont="1" applyAlignment="1">
      <alignment wrapText="1"/>
    </xf>
    <xf numFmtId="164" fontId="2" fillId="0" borderId="0" xfId="0" applyNumberFormat="1" applyFont="1"/>
    <xf numFmtId="0" fontId="5" fillId="8" borderId="6" xfId="0" applyFont="1" applyFill="1" applyBorder="1"/>
    <xf numFmtId="3" fontId="5" fillId="0" borderId="0" xfId="0" applyNumberFormat="1" applyFont="1"/>
    <xf numFmtId="0" fontId="5" fillId="0" borderId="0" xfId="0" applyFont="1" applyProtection="1">
      <protection locked="0"/>
    </xf>
    <xf numFmtId="164" fontId="1" fillId="16" borderId="0" xfId="0" applyNumberFormat="1" applyFont="1" applyFill="1"/>
    <xf numFmtId="164" fontId="1" fillId="17" borderId="0" xfId="0" applyNumberFormat="1" applyFont="1" applyFill="1"/>
    <xf numFmtId="164" fontId="1" fillId="18" borderId="0" xfId="0" applyNumberFormat="1" applyFont="1" applyFill="1"/>
    <xf numFmtId="0" fontId="1" fillId="0" borderId="17" xfId="0" applyFont="1" applyBorder="1"/>
    <xf numFmtId="164" fontId="1" fillId="4" borderId="18" xfId="0" applyNumberFormat="1" applyFont="1" applyFill="1" applyBorder="1"/>
    <xf numFmtId="164" fontId="1" fillId="5" borderId="2" xfId="0" applyNumberFormat="1" applyFont="1" applyFill="1" applyBorder="1"/>
    <xf numFmtId="164" fontId="1" fillId="3" borderId="2" xfId="0" applyNumberFormat="1" applyFont="1" applyFill="1" applyBorder="1"/>
    <xf numFmtId="164" fontId="5" fillId="3" borderId="2" xfId="0" applyNumberFormat="1" applyFont="1" applyFill="1" applyBorder="1"/>
    <xf numFmtId="164" fontId="5" fillId="4" borderId="20" xfId="0" applyNumberFormat="1" applyFont="1" applyFill="1" applyBorder="1"/>
    <xf numFmtId="164" fontId="5" fillId="5" borderId="18" xfId="0" applyNumberFormat="1" applyFont="1" applyFill="1" applyBorder="1"/>
    <xf numFmtId="164" fontId="5" fillId="0" borderId="0" xfId="0" applyNumberFormat="1" applyFont="1" applyProtection="1">
      <protection locked="0"/>
    </xf>
    <xf numFmtId="0" fontId="14" fillId="14" borderId="0" xfId="0" applyFont="1" applyFill="1"/>
    <xf numFmtId="164" fontId="13" fillId="14" borderId="0" xfId="0" applyNumberFormat="1" applyFont="1" applyFill="1"/>
    <xf numFmtId="164" fontId="1" fillId="19" borderId="6" xfId="0" applyNumberFormat="1" applyFont="1" applyFill="1" applyBorder="1"/>
    <xf numFmtId="164" fontId="1" fillId="13" borderId="6" xfId="0" applyNumberFormat="1" applyFont="1" applyFill="1" applyBorder="1"/>
    <xf numFmtId="164" fontId="1" fillId="20" borderId="6" xfId="0" applyNumberFormat="1" applyFont="1" applyFill="1" applyBorder="1"/>
    <xf numFmtId="164" fontId="5" fillId="0" borderId="17" xfId="0" applyNumberFormat="1" applyFont="1" applyBorder="1"/>
    <xf numFmtId="0" fontId="2" fillId="0" borderId="13" xfId="0" applyFont="1" applyBorder="1"/>
    <xf numFmtId="0" fontId="4" fillId="0" borderId="13" xfId="0" applyFont="1" applyBorder="1"/>
    <xf numFmtId="164" fontId="4" fillId="8" borderId="21" xfId="0" applyNumberFormat="1" applyFont="1" applyFill="1" applyBorder="1"/>
    <xf numFmtId="0" fontId="4" fillId="0" borderId="6" xfId="0" applyFont="1" applyBorder="1" applyAlignment="1">
      <alignment horizontal="center" wrapText="1"/>
    </xf>
    <xf numFmtId="164" fontId="4" fillId="0" borderId="6" xfId="0" applyNumberFormat="1" applyFont="1" applyBorder="1" applyAlignment="1">
      <alignment horizontal="center" wrapText="1"/>
    </xf>
    <xf numFmtId="0" fontId="4" fillId="0" borderId="6" xfId="0" applyFont="1" applyBorder="1" applyAlignment="1">
      <alignment horizontal="center"/>
    </xf>
    <xf numFmtId="10" fontId="4" fillId="0" borderId="0" xfId="0" applyNumberFormat="1" applyFont="1" applyAlignment="1">
      <alignment horizontal="center"/>
    </xf>
    <xf numFmtId="165" fontId="5" fillId="0" borderId="0" xfId="0" applyNumberFormat="1" applyFont="1"/>
    <xf numFmtId="3" fontId="5" fillId="10" borderId="6" xfId="0" applyNumberFormat="1" applyFont="1" applyFill="1" applyBorder="1" applyProtection="1">
      <protection locked="0"/>
    </xf>
    <xf numFmtId="165" fontId="5" fillId="10" borderId="6" xfId="0" applyNumberFormat="1" applyFont="1" applyFill="1" applyBorder="1" applyProtection="1">
      <protection locked="0"/>
    </xf>
    <xf numFmtId="165" fontId="4" fillId="10" borderId="6" xfId="0" applyNumberFormat="1" applyFont="1" applyFill="1" applyBorder="1" applyProtection="1">
      <protection locked="0"/>
    </xf>
    <xf numFmtId="0" fontId="2" fillId="10" borderId="21" xfId="0" applyFont="1" applyFill="1" applyBorder="1" applyProtection="1">
      <protection locked="0"/>
    </xf>
    <xf numFmtId="164" fontId="2" fillId="10" borderId="22" xfId="0" applyNumberFormat="1" applyFont="1" applyFill="1" applyBorder="1" applyProtection="1">
      <protection locked="0"/>
    </xf>
    <xf numFmtId="164" fontId="2" fillId="10" borderId="10" xfId="0" applyNumberFormat="1" applyFont="1" applyFill="1" applyBorder="1" applyProtection="1">
      <protection locked="0"/>
    </xf>
    <xf numFmtId="164" fontId="2" fillId="4" borderId="5" xfId="0" applyNumberFormat="1" applyFont="1" applyFill="1" applyBorder="1"/>
    <xf numFmtId="164" fontId="5" fillId="4" borderId="2" xfId="0" applyNumberFormat="1" applyFont="1" applyFill="1" applyBorder="1"/>
    <xf numFmtId="164" fontId="5" fillId="5" borderId="2" xfId="0" applyNumberFormat="1" applyFont="1" applyFill="1" applyBorder="1"/>
    <xf numFmtId="164" fontId="5" fillId="19" borderId="6" xfId="0" applyNumberFormat="1" applyFont="1" applyFill="1" applyBorder="1"/>
    <xf numFmtId="0" fontId="7" fillId="10" borderId="6" xfId="0" applyFont="1" applyFill="1" applyBorder="1" applyProtection="1">
      <protection locked="0"/>
    </xf>
    <xf numFmtId="0" fontId="2" fillId="2" borderId="5" xfId="0" applyFont="1" applyFill="1" applyBorder="1" applyProtection="1">
      <protection locked="0"/>
    </xf>
    <xf numFmtId="164" fontId="2" fillId="10" borderId="5" xfId="0" applyNumberFormat="1" applyFont="1" applyFill="1" applyBorder="1" applyProtection="1">
      <protection locked="0"/>
    </xf>
    <xf numFmtId="0" fontId="4" fillId="2" borderId="3" xfId="0" applyFont="1" applyFill="1" applyBorder="1" applyProtection="1">
      <protection locked="0"/>
    </xf>
    <xf numFmtId="0" fontId="2" fillId="2" borderId="16" xfId="0" applyFont="1" applyFill="1" applyBorder="1" applyProtection="1">
      <protection locked="0"/>
    </xf>
    <xf numFmtId="164" fontId="2" fillId="10" borderId="18" xfId="0" applyNumberFormat="1" applyFont="1" applyFill="1" applyBorder="1" applyProtection="1">
      <protection locked="0"/>
    </xf>
    <xf numFmtId="164" fontId="2" fillId="10" borderId="6" xfId="0" applyNumberFormat="1" applyFont="1" applyFill="1" applyBorder="1" applyProtection="1">
      <protection locked="0"/>
    </xf>
    <xf numFmtId="10" fontId="2" fillId="10" borderId="6" xfId="0" applyNumberFormat="1" applyFont="1" applyFill="1" applyBorder="1" applyProtection="1">
      <protection locked="0"/>
    </xf>
    <xf numFmtId="164" fontId="2" fillId="0" borderId="17" xfId="0" applyNumberFormat="1" applyFont="1" applyBorder="1"/>
    <xf numFmtId="0" fontId="2" fillId="0" borderId="2" xfId="0" applyFont="1" applyBorder="1" applyProtection="1">
      <protection locked="0"/>
    </xf>
    <xf numFmtId="0" fontId="2" fillId="0" borderId="23" xfId="0" applyFont="1" applyBorder="1"/>
    <xf numFmtId="0" fontId="2" fillId="8" borderId="18" xfId="0" applyFont="1" applyFill="1" applyBorder="1"/>
    <xf numFmtId="164" fontId="2" fillId="4" borderId="2" xfId="0" applyNumberFormat="1" applyFont="1" applyFill="1" applyBorder="1" applyProtection="1">
      <protection locked="0"/>
    </xf>
    <xf numFmtId="164" fontId="2" fillId="0" borderId="2" xfId="0" applyNumberFormat="1" applyFont="1" applyBorder="1" applyProtection="1">
      <protection locked="0"/>
    </xf>
    <xf numFmtId="164" fontId="2" fillId="0" borderId="1" xfId="0" applyNumberFormat="1" applyFont="1" applyBorder="1"/>
    <xf numFmtId="0" fontId="4" fillId="0" borderId="1" xfId="0" applyFont="1" applyBorder="1"/>
    <xf numFmtId="0" fontId="15" fillId="0" borderId="0" xfId="0" applyFont="1"/>
    <xf numFmtId="0" fontId="16" fillId="0" borderId="0" xfId="0" applyFont="1"/>
    <xf numFmtId="0" fontId="15" fillId="0" borderId="0" xfId="0" applyFont="1" applyAlignment="1">
      <alignment horizontal="right"/>
    </xf>
    <xf numFmtId="0" fontId="8" fillId="0" borderId="0" xfId="0" applyFont="1"/>
    <xf numFmtId="0" fontId="15" fillId="21" borderId="1" xfId="0" applyFont="1" applyFill="1" applyBorder="1" applyAlignment="1" applyProtection="1">
      <alignment horizontal="right"/>
      <protection locked="0"/>
    </xf>
    <xf numFmtId="0" fontId="15" fillId="0" borderId="0" xfId="0" applyFont="1" applyAlignment="1">
      <alignment horizontal="left"/>
    </xf>
    <xf numFmtId="43" fontId="15" fillId="0" borderId="0" xfId="0" applyNumberFormat="1" applyFont="1" applyAlignment="1">
      <alignment horizontal="right"/>
    </xf>
    <xf numFmtId="8" fontId="15" fillId="0" borderId="0" xfId="0" applyNumberFormat="1" applyFont="1" applyAlignment="1">
      <alignment horizontal="right"/>
    </xf>
    <xf numFmtId="8" fontId="16" fillId="0" borderId="0" xfId="0" applyNumberFormat="1" applyFont="1"/>
    <xf numFmtId="8" fontId="15" fillId="0" borderId="0" xfId="0" applyNumberFormat="1" applyFont="1" applyAlignment="1">
      <alignment horizontal="left"/>
    </xf>
    <xf numFmtId="0" fontId="17" fillId="0" borderId="0" xfId="0" applyFont="1"/>
    <xf numFmtId="165" fontId="15" fillId="0" borderId="0" xfId="0" applyNumberFormat="1" applyFont="1"/>
    <xf numFmtId="8" fontId="15" fillId="0" borderId="0" xfId="0" applyNumberFormat="1" applyFont="1"/>
    <xf numFmtId="0" fontId="18" fillId="0" borderId="0" xfId="0" applyFont="1"/>
    <xf numFmtId="0" fontId="19" fillId="0" borderId="0" xfId="0" applyFont="1"/>
    <xf numFmtId="0" fontId="20" fillId="14" borderId="0" xfId="0" applyFont="1" applyFill="1"/>
    <xf numFmtId="0" fontId="19" fillId="14" borderId="0" xfId="0" applyFont="1" applyFill="1"/>
    <xf numFmtId="0" fontId="19" fillId="0" borderId="0" xfId="0" applyFont="1" applyAlignment="1">
      <alignment wrapText="1"/>
    </xf>
    <xf numFmtId="0" fontId="18" fillId="0" borderId="0" xfId="0" applyFont="1" applyAlignment="1">
      <alignment wrapText="1"/>
    </xf>
    <xf numFmtId="0" fontId="18" fillId="0" borderId="0" xfId="0" applyFont="1" applyAlignment="1">
      <alignment horizontal="center" wrapText="1"/>
    </xf>
    <xf numFmtId="164" fontId="18" fillId="8" borderId="6" xfId="0" applyNumberFormat="1" applyFont="1" applyFill="1" applyBorder="1"/>
    <xf numFmtId="0" fontId="20" fillId="0" borderId="0" xfId="0" applyFont="1"/>
    <xf numFmtId="0" fontId="21" fillId="28" borderId="0" xfId="0" applyFont="1" applyFill="1"/>
    <xf numFmtId="0" fontId="19" fillId="29" borderId="0" xfId="0" applyFont="1" applyFill="1"/>
    <xf numFmtId="0" fontId="15" fillId="29" borderId="0" xfId="0" applyFont="1" applyFill="1"/>
    <xf numFmtId="0" fontId="22" fillId="29" borderId="0" xfId="0" applyFont="1" applyFill="1"/>
    <xf numFmtId="0" fontId="22" fillId="0" borderId="0" xfId="0" applyFont="1"/>
    <xf numFmtId="0" fontId="15" fillId="8" borderId="6" xfId="0" applyFont="1" applyFill="1" applyBorder="1"/>
    <xf numFmtId="1" fontId="18" fillId="8" borderId="6" xfId="0" applyNumberFormat="1" applyFont="1" applyFill="1" applyBorder="1"/>
    <xf numFmtId="2" fontId="18" fillId="8" borderId="6" xfId="0" applyNumberFormat="1" applyFont="1" applyFill="1" applyBorder="1"/>
    <xf numFmtId="0" fontId="19" fillId="28" borderId="0" xfId="0" applyFont="1" applyFill="1"/>
    <xf numFmtId="0" fontId="23" fillId="0" borderId="0" xfId="0" applyFont="1" applyAlignment="1">
      <alignment horizontal="left"/>
    </xf>
    <xf numFmtId="6" fontId="15" fillId="0" borderId="0" xfId="0" applyNumberFormat="1" applyFont="1" applyAlignment="1">
      <alignment horizontal="right"/>
    </xf>
    <xf numFmtId="8" fontId="15" fillId="26" borderId="1" xfId="0" applyNumberFormat="1" applyFont="1" applyFill="1" applyBorder="1" applyAlignment="1">
      <alignment horizontal="right"/>
    </xf>
    <xf numFmtId="8" fontId="15" fillId="26" borderId="1" xfId="0" applyNumberFormat="1" applyFont="1" applyFill="1" applyBorder="1"/>
    <xf numFmtId="0" fontId="18" fillId="29" borderId="0" xfId="0" applyFont="1" applyFill="1"/>
    <xf numFmtId="164" fontId="15" fillId="0" borderId="0" xfId="0" applyNumberFormat="1" applyFont="1" applyAlignment="1" applyProtection="1">
      <alignment horizontal="right"/>
      <protection locked="0"/>
    </xf>
    <xf numFmtId="8" fontId="15" fillId="0" borderId="0" xfId="0" applyNumberFormat="1" applyFont="1" applyAlignment="1" applyProtection="1">
      <alignment horizontal="right"/>
      <protection locked="0"/>
    </xf>
    <xf numFmtId="1" fontId="15" fillId="30" borderId="6" xfId="0" applyNumberFormat="1" applyFont="1" applyFill="1" applyBorder="1" applyProtection="1">
      <protection locked="0"/>
    </xf>
    <xf numFmtId="0" fontId="15" fillId="23" borderId="2" xfId="0" applyFont="1" applyFill="1" applyBorder="1" applyAlignment="1" applyProtection="1">
      <alignment horizontal="right"/>
      <protection locked="0"/>
    </xf>
    <xf numFmtId="0" fontId="15" fillId="23" borderId="6" xfId="0" applyFont="1" applyFill="1" applyBorder="1" applyAlignment="1" applyProtection="1">
      <alignment horizontal="right"/>
      <protection locked="0"/>
    </xf>
    <xf numFmtId="164" fontId="15" fillId="23" borderId="1" xfId="0" applyNumberFormat="1" applyFont="1" applyFill="1" applyBorder="1" applyProtection="1">
      <protection locked="0"/>
    </xf>
    <xf numFmtId="6" fontId="15" fillId="25" borderId="2" xfId="0" applyNumberFormat="1" applyFont="1" applyFill="1" applyBorder="1" applyAlignment="1">
      <alignment horizontal="right"/>
    </xf>
    <xf numFmtId="6" fontId="15" fillId="25" borderId="6" xfId="0" applyNumberFormat="1" applyFont="1" applyFill="1" applyBorder="1" applyAlignment="1">
      <alignment horizontal="right"/>
    </xf>
    <xf numFmtId="0" fontId="15" fillId="0" borderId="0" xfId="0" applyFont="1" applyAlignment="1" applyProtection="1">
      <alignment horizontal="right"/>
      <protection locked="0"/>
    </xf>
    <xf numFmtId="0" fontId="24" fillId="0" borderId="0" xfId="0" applyFont="1"/>
    <xf numFmtId="0" fontId="15" fillId="0" borderId="24" xfId="0" applyFont="1" applyBorder="1" applyAlignment="1">
      <alignment wrapText="1"/>
    </xf>
    <xf numFmtId="0" fontId="15" fillId="0" borderId="24" xfId="0" applyFont="1" applyBorder="1" applyAlignment="1">
      <alignment horizontal="center" wrapText="1"/>
    </xf>
    <xf numFmtId="0" fontId="15" fillId="0" borderId="24" xfId="0" applyFont="1" applyBorder="1" applyAlignment="1">
      <alignment horizontal="right" wrapText="1"/>
    </xf>
    <xf numFmtId="0" fontId="15" fillId="22" borderId="3" xfId="0" applyFont="1" applyFill="1" applyBorder="1" applyProtection="1">
      <protection locked="0"/>
    </xf>
    <xf numFmtId="0" fontId="15" fillId="23" borderId="1" xfId="0" applyFont="1" applyFill="1" applyBorder="1" applyProtection="1">
      <protection locked="0"/>
    </xf>
    <xf numFmtId="0" fontId="15" fillId="23" borderId="1" xfId="0" applyFont="1" applyFill="1" applyBorder="1" applyAlignment="1" applyProtection="1">
      <alignment horizontal="center"/>
      <protection locked="0"/>
    </xf>
    <xf numFmtId="166" fontId="15" fillId="24" borderId="7" xfId="0" applyNumberFormat="1" applyFont="1" applyFill="1" applyBorder="1"/>
    <xf numFmtId="1" fontId="15" fillId="25" borderId="7" xfId="0" applyNumberFormat="1" applyFont="1" applyFill="1" applyBorder="1"/>
    <xf numFmtId="1" fontId="15" fillId="25" borderId="7" xfId="0" applyNumberFormat="1" applyFont="1" applyFill="1" applyBorder="1" applyAlignment="1">
      <alignment horizontal="right"/>
    </xf>
    <xf numFmtId="164" fontId="15" fillId="22" borderId="1" xfId="0" applyNumberFormat="1" applyFont="1" applyFill="1" applyBorder="1" applyAlignment="1" applyProtection="1">
      <alignment horizontal="right"/>
      <protection locked="0"/>
    </xf>
    <xf numFmtId="0" fontId="15" fillId="27" borderId="3" xfId="0" applyFont="1" applyFill="1" applyBorder="1" applyProtection="1">
      <protection locked="0"/>
    </xf>
    <xf numFmtId="167" fontId="15" fillId="24" borderId="7" xfId="0" applyNumberFormat="1" applyFont="1" applyFill="1" applyBorder="1"/>
    <xf numFmtId="2" fontId="15" fillId="25" borderId="7" xfId="0" applyNumberFormat="1" applyFont="1" applyFill="1" applyBorder="1"/>
    <xf numFmtId="2" fontId="15" fillId="25" borderId="7" xfId="0" applyNumberFormat="1" applyFont="1" applyFill="1" applyBorder="1" applyAlignment="1">
      <alignment horizontal="right"/>
    </xf>
    <xf numFmtId="1" fontId="15" fillId="24" borderId="1" xfId="0" applyNumberFormat="1" applyFont="1" applyFill="1" applyBorder="1"/>
    <xf numFmtId="8" fontId="15" fillId="4" borderId="1" xfId="0" applyNumberFormat="1" applyFont="1" applyFill="1" applyBorder="1"/>
    <xf numFmtId="0" fontId="23" fillId="28" borderId="0" xfId="0" applyFont="1" applyFill="1"/>
    <xf numFmtId="0" fontId="16" fillId="28" borderId="0" xfId="0" applyFont="1" applyFill="1"/>
    <xf numFmtId="8" fontId="18" fillId="8" borderId="6" xfId="0" applyNumberFormat="1" applyFont="1" applyFill="1" applyBorder="1"/>
    <xf numFmtId="8" fontId="15" fillId="4" borderId="2" xfId="0" applyNumberFormat="1" applyFont="1" applyFill="1" applyBorder="1"/>
    <xf numFmtId="166" fontId="15" fillId="24" borderId="2" xfId="0" applyNumberFormat="1" applyFont="1" applyFill="1" applyBorder="1"/>
    <xf numFmtId="2" fontId="15" fillId="8" borderId="6" xfId="0" applyNumberFormat="1" applyFont="1" applyFill="1" applyBorder="1"/>
    <xf numFmtId="164" fontId="15" fillId="8" borderId="6" xfId="0" applyNumberFormat="1" applyFont="1" applyFill="1" applyBorder="1"/>
    <xf numFmtId="0" fontId="18" fillId="8" borderId="6" xfId="0" applyFont="1" applyFill="1" applyBorder="1"/>
    <xf numFmtId="2" fontId="18" fillId="29" borderId="0" xfId="0" applyNumberFormat="1" applyFont="1" applyFill="1"/>
    <xf numFmtId="0" fontId="18" fillId="28" borderId="0" xfId="0" applyFont="1" applyFill="1"/>
    <xf numFmtId="2" fontId="18" fillId="28" borderId="0" xfId="0" applyNumberFormat="1" applyFont="1" applyFill="1"/>
    <xf numFmtId="0" fontId="15" fillId="0" borderId="3" xfId="0" applyFont="1" applyBorder="1" applyProtection="1">
      <protection locked="0"/>
    </xf>
    <xf numFmtId="0" fontId="6" fillId="0" borderId="0" xfId="0" applyFont="1" applyAlignment="1">
      <alignment horizontal="right"/>
    </xf>
    <xf numFmtId="164" fontId="6" fillId="8" borderId="6" xfId="0" applyNumberFormat="1" applyFont="1" applyFill="1" applyBorder="1"/>
    <xf numFmtId="0" fontId="6" fillId="0" borderId="0" xfId="0" applyFont="1" applyAlignment="1">
      <alignment horizontal="left"/>
    </xf>
    <xf numFmtId="0" fontId="15" fillId="10" borderId="3" xfId="0" applyFont="1" applyFill="1" applyBorder="1" applyProtection="1">
      <protection locked="0"/>
    </xf>
    <xf numFmtId="0" fontId="0" fillId="28" borderId="0" xfId="0" applyFill="1"/>
    <xf numFmtId="0" fontId="11" fillId="28" borderId="0" xfId="0" applyFont="1" applyFill="1"/>
    <xf numFmtId="0" fontId="6" fillId="28" borderId="0" xfId="0" applyFont="1" applyFill="1"/>
    <xf numFmtId="2" fontId="18" fillId="0" borderId="0" xfId="0" applyNumberFormat="1" applyFont="1"/>
    <xf numFmtId="0" fontId="18" fillId="0" borderId="6" xfId="0" applyFont="1" applyBorder="1"/>
    <xf numFmtId="8" fontId="18" fillId="0" borderId="0" xfId="0" applyNumberFormat="1" applyFont="1"/>
    <xf numFmtId="0" fontId="23" fillId="29" borderId="0" xfId="0" applyFont="1" applyFill="1"/>
    <xf numFmtId="0" fontId="16" fillId="29" borderId="0" xfId="0" applyFont="1" applyFill="1"/>
    <xf numFmtId="0" fontId="23" fillId="0" borderId="0" xfId="0" applyFont="1"/>
    <xf numFmtId="2" fontId="15" fillId="0" borderId="0" xfId="0" applyNumberFormat="1" applyFont="1"/>
    <xf numFmtId="1" fontId="15" fillId="24" borderId="5" xfId="0" applyNumberFormat="1" applyFont="1" applyFill="1" applyBorder="1"/>
    <xf numFmtId="167" fontId="15" fillId="24" borderId="25" xfId="0" applyNumberFormat="1" applyFont="1" applyFill="1" applyBorder="1"/>
    <xf numFmtId="166" fontId="15" fillId="24" borderId="6" xfId="0" applyNumberFormat="1" applyFont="1" applyFill="1" applyBorder="1"/>
    <xf numFmtId="2" fontId="15" fillId="25" borderId="1" xfId="0" applyNumberFormat="1" applyFont="1" applyFill="1" applyBorder="1"/>
    <xf numFmtId="0" fontId="21" fillId="0" borderId="0" xfId="0" applyFont="1"/>
    <xf numFmtId="0" fontId="8" fillId="29" borderId="0" xfId="0" applyFont="1" applyFill="1"/>
    <xf numFmtId="0" fontId="0" fillId="29" borderId="0" xfId="0" applyFill="1"/>
    <xf numFmtId="8" fontId="18" fillId="29" borderId="0" xfId="0" applyNumberFormat="1" applyFont="1" applyFill="1"/>
    <xf numFmtId="0" fontId="6" fillId="29" borderId="0" xfId="0" applyFont="1" applyFill="1"/>
    <xf numFmtId="0" fontId="25" fillId="28" borderId="0" xfId="1" applyFill="1" applyAlignment="1"/>
    <xf numFmtId="164" fontId="18" fillId="0" borderId="0" xfId="0" applyNumberFormat="1" applyFont="1"/>
    <xf numFmtId="164" fontId="15" fillId="0" borderId="0" xfId="0" applyNumberFormat="1" applyFont="1" applyProtection="1">
      <protection locked="0"/>
    </xf>
    <xf numFmtId="1" fontId="15" fillId="0" borderId="0" xfId="0" applyNumberFormat="1" applyFont="1" applyProtection="1">
      <protection locked="0"/>
    </xf>
    <xf numFmtId="164" fontId="15" fillId="0" borderId="0" xfId="0" applyNumberFormat="1" applyFont="1"/>
    <xf numFmtId="0" fontId="6" fillId="31" borderId="0" xfId="0" applyFont="1" applyFill="1"/>
    <xf numFmtId="0" fontId="0" fillId="31" borderId="0" xfId="0" applyFill="1"/>
    <xf numFmtId="0" fontId="4" fillId="31" borderId="0" xfId="0" applyFont="1" applyFill="1"/>
    <xf numFmtId="0" fontId="2" fillId="31" borderId="0" xfId="0" applyFont="1" applyFill="1"/>
    <xf numFmtId="164" fontId="1" fillId="31" borderId="0" xfId="0" applyNumberFormat="1" applyFont="1" applyFill="1"/>
    <xf numFmtId="0" fontId="5" fillId="31" borderId="0" xfId="0" applyFont="1" applyFill="1"/>
    <xf numFmtId="165" fontId="2" fillId="31" borderId="0" xfId="0" applyNumberFormat="1" applyFont="1" applyFill="1"/>
    <xf numFmtId="0" fontId="11" fillId="31" borderId="0" xfId="0" applyFont="1" applyFill="1"/>
    <xf numFmtId="164" fontId="5" fillId="31" borderId="0" xfId="0" applyNumberFormat="1" applyFont="1" applyFill="1"/>
    <xf numFmtId="0" fontId="26" fillId="14" borderId="0" xfId="0" applyFont="1" applyFill="1"/>
    <xf numFmtId="0" fontId="4" fillId="2" borderId="1" xfId="0" applyFont="1" applyFill="1" applyBorder="1" applyProtection="1">
      <protection locked="0"/>
    </xf>
    <xf numFmtId="164" fontId="15" fillId="26" borderId="2" xfId="0" applyNumberFormat="1" applyFont="1" applyFill="1" applyBorder="1" applyAlignment="1">
      <alignment horizontal="right"/>
    </xf>
    <xf numFmtId="164" fontId="15" fillId="26" borderId="1" xfId="0" applyNumberFormat="1" applyFont="1" applyFill="1" applyBorder="1" applyAlignment="1">
      <alignment horizontal="right"/>
    </xf>
    <xf numFmtId="164" fontId="15" fillId="4" borderId="6" xfId="0" applyNumberFormat="1" applyFont="1" applyFill="1" applyBorder="1" applyAlignment="1">
      <alignment horizontal="right"/>
    </xf>
    <xf numFmtId="164" fontId="15" fillId="26" borderId="1" xfId="0" applyNumberFormat="1" applyFont="1" applyFill="1" applyBorder="1"/>
    <xf numFmtId="164" fontId="15" fillId="25" borderId="2" xfId="0" applyNumberFormat="1" applyFont="1" applyFill="1" applyBorder="1" applyAlignment="1">
      <alignment horizontal="right"/>
    </xf>
    <xf numFmtId="164" fontId="15" fillId="25" borderId="6" xfId="0" applyNumberFormat="1" applyFont="1" applyFill="1" applyBorder="1" applyAlignment="1">
      <alignment horizontal="right"/>
    </xf>
    <xf numFmtId="0" fontId="2" fillId="0" borderId="6" xfId="0" applyFont="1" applyBorder="1" applyAlignment="1">
      <alignment horizontal="center"/>
    </xf>
    <xf numFmtId="0" fontId="11" fillId="0" borderId="0" xfId="0" applyFont="1"/>
    <xf numFmtId="0" fontId="2" fillId="0" borderId="18" xfId="0" applyFont="1" applyBorder="1" applyAlignment="1">
      <alignment horizontal="center" wrapText="1"/>
    </xf>
    <xf numFmtId="0" fontId="1" fillId="31" borderId="0" xfId="0" applyFont="1" applyFill="1"/>
    <xf numFmtId="0" fontId="4" fillId="0" borderId="1" xfId="0" applyFont="1" applyBorder="1" applyAlignment="1">
      <alignment horizontal="center"/>
    </xf>
    <xf numFmtId="0" fontId="22" fillId="14" borderId="0" xfId="0" applyFont="1" applyFill="1"/>
    <xf numFmtId="10" fontId="18" fillId="10" borderId="6" xfId="0" applyNumberFormat="1" applyFont="1" applyFill="1" applyBorder="1" applyAlignment="1" applyProtection="1">
      <alignment horizontal="right"/>
      <protection locked="0"/>
    </xf>
    <xf numFmtId="10" fontId="18" fillId="0" borderId="6" xfId="0" applyNumberFormat="1" applyFont="1" applyBorder="1" applyAlignment="1">
      <alignment horizontal="right"/>
    </xf>
    <xf numFmtId="164" fontId="18" fillId="0" borderId="6" xfId="0" applyNumberFormat="1" applyFont="1" applyBorder="1"/>
    <xf numFmtId="164" fontId="18" fillId="11" borderId="6" xfId="0" applyNumberFormat="1" applyFont="1" applyFill="1" applyBorder="1"/>
    <xf numFmtId="10" fontId="18" fillId="10" borderId="6" xfId="0" applyNumberFormat="1" applyFont="1" applyFill="1" applyBorder="1" applyProtection="1">
      <protection locked="0"/>
    </xf>
    <xf numFmtId="10" fontId="18" fillId="0" borderId="6" xfId="0" applyNumberFormat="1" applyFont="1" applyBorder="1"/>
    <xf numFmtId="10" fontId="9" fillId="0" borderId="0" xfId="0" applyNumberFormat="1" applyFont="1" applyProtection="1">
      <protection locked="0"/>
    </xf>
    <xf numFmtId="164" fontId="9" fillId="0" borderId="0" xfId="0" applyNumberFormat="1" applyFont="1"/>
    <xf numFmtId="0" fontId="4" fillId="10" borderId="1" xfId="0" applyFont="1" applyFill="1" applyBorder="1" applyProtection="1">
      <protection locked="0"/>
    </xf>
    <xf numFmtId="0" fontId="2" fillId="10" borderId="1" xfId="0" applyFont="1" applyFill="1" applyBorder="1" applyProtection="1">
      <protection locked="0"/>
    </xf>
    <xf numFmtId="0" fontId="2" fillId="10" borderId="2" xfId="0" applyFont="1" applyFill="1" applyBorder="1" applyProtection="1">
      <protection locked="0"/>
    </xf>
    <xf numFmtId="0" fontId="19" fillId="10" borderId="10" xfId="0" applyFont="1" applyFill="1" applyBorder="1" applyProtection="1">
      <protection locked="0"/>
    </xf>
    <xf numFmtId="0" fontId="19" fillId="10" borderId="9" xfId="0" applyFont="1" applyFill="1" applyBorder="1" applyProtection="1">
      <protection locked="0"/>
    </xf>
    <xf numFmtId="0" fontId="19" fillId="10" borderId="11" xfId="0" applyFont="1" applyFill="1" applyBorder="1" applyProtection="1">
      <protection locked="0"/>
    </xf>
    <xf numFmtId="14" fontId="18" fillId="10" borderId="6" xfId="0" applyNumberFormat="1" applyFont="1" applyFill="1" applyBorder="1" applyProtection="1">
      <protection locked="0"/>
    </xf>
    <xf numFmtId="0" fontId="18" fillId="10" borderId="6" xfId="0" applyFont="1" applyFill="1" applyBorder="1" applyProtection="1">
      <protection locked="0"/>
    </xf>
    <xf numFmtId="164" fontId="18" fillId="10" borderId="6" xfId="0" applyNumberFormat="1" applyFont="1" applyFill="1" applyBorder="1" applyProtection="1">
      <protection locked="0"/>
    </xf>
    <xf numFmtId="164" fontId="15" fillId="10" borderId="6" xfId="0" applyNumberFormat="1" applyFont="1" applyFill="1" applyBorder="1" applyProtection="1">
      <protection locked="0"/>
    </xf>
    <xf numFmtId="164" fontId="6" fillId="10" borderId="6" xfId="0" applyNumberFormat="1" applyFont="1" applyFill="1" applyBorder="1" applyProtection="1">
      <protection locked="0"/>
    </xf>
    <xf numFmtId="0" fontId="6" fillId="10" borderId="6" xfId="0" applyFont="1" applyFill="1" applyBorder="1" applyProtection="1">
      <protection locked="0"/>
    </xf>
    <xf numFmtId="0" fontId="15" fillId="10" borderId="6" xfId="0" applyFont="1" applyFill="1" applyBorder="1" applyProtection="1">
      <protection locked="0"/>
    </xf>
    <xf numFmtId="164" fontId="5" fillId="32" borderId="6" xfId="2" applyNumberFormat="1" applyFont="1" applyFill="1" applyBorder="1"/>
    <xf numFmtId="164" fontId="4" fillId="32" borderId="6" xfId="0" applyNumberFormat="1" applyFont="1" applyFill="1" applyBorder="1"/>
    <xf numFmtId="164" fontId="4" fillId="7" borderId="6" xfId="0" applyNumberFormat="1" applyFont="1" applyFill="1" applyBorder="1"/>
    <xf numFmtId="164" fontId="5" fillId="7" borderId="6" xfId="2" applyNumberFormat="1" applyFont="1" applyFill="1" applyBorder="1"/>
    <xf numFmtId="8" fontId="19" fillId="32" borderId="6" xfId="0" applyNumberFormat="1" applyFont="1" applyFill="1" applyBorder="1"/>
    <xf numFmtId="8" fontId="2" fillId="32" borderId="6" xfId="0" applyNumberFormat="1" applyFont="1" applyFill="1" applyBorder="1"/>
    <xf numFmtId="0" fontId="13" fillId="28" borderId="0" xfId="0" applyFont="1" applyFill="1" applyAlignment="1">
      <alignment wrapText="1"/>
    </xf>
    <xf numFmtId="0" fontId="2" fillId="28" borderId="0" xfId="0" applyFont="1" applyFill="1" applyAlignment="1">
      <alignment wrapText="1"/>
    </xf>
    <xf numFmtId="0" fontId="2" fillId="28" borderId="0" xfId="0" applyFont="1" applyFill="1"/>
    <xf numFmtId="0" fontId="2" fillId="28" borderId="0" xfId="0" applyFont="1" applyFill="1" applyAlignment="1">
      <alignment horizontal="center"/>
    </xf>
  </cellXfs>
  <cellStyles count="3">
    <cellStyle name="Currency" xfId="2" builtinId="4"/>
    <cellStyle name="Hyperlink" xfId="1" builtinId="8"/>
    <cellStyle name="Normal" xfId="0" builtinId="0"/>
  </cellStyles>
  <dxfs count="0"/>
  <tableStyles count="0" defaultTableStyle="TableStyleMedium2" defaultPivotStyle="PivotStyleLight16"/>
  <colors>
    <mruColors>
      <color rgb="FFA0F395"/>
      <color rgb="FFFFFFCC"/>
      <color rgb="FFFFFF99"/>
      <color rgb="FFFFCCFF"/>
      <color rgb="FFFFEAD5"/>
      <color rgb="FFCCFF99"/>
      <color rgb="FFCCCCFF"/>
      <color rgb="FFFFCC99"/>
      <color rgb="FF66FFFF"/>
      <color rgb="FFFFE2C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265642</xdr:colOff>
      <xdr:row>3</xdr:row>
      <xdr:rowOff>140919</xdr:rowOff>
    </xdr:to>
    <xdr:pic>
      <xdr:nvPicPr>
        <xdr:cNvPr id="2" name="Picture 1">
          <a:extLst>
            <a:ext uri="{FF2B5EF4-FFF2-40B4-BE49-F238E27FC236}">
              <a16:creationId xmlns:a16="http://schemas.microsoft.com/office/drawing/2014/main" id="{8D1340AD-F1C5-4DA0-A869-64A83C9DEDB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704042" cy="712419"/>
        </a:xfrm>
        <a:prstGeom prst="rect">
          <a:avLst/>
        </a:prstGeom>
      </xdr:spPr>
    </xdr:pic>
    <xdr:clientData/>
  </xdr:twoCellAnchor>
  <xdr:twoCellAnchor>
    <xdr:from>
      <xdr:col>0</xdr:col>
      <xdr:colOff>123825</xdr:colOff>
      <xdr:row>5</xdr:row>
      <xdr:rowOff>152398</xdr:rowOff>
    </xdr:from>
    <xdr:to>
      <xdr:col>15</xdr:col>
      <xdr:colOff>495300</xdr:colOff>
      <xdr:row>167</xdr:row>
      <xdr:rowOff>114300</xdr:rowOff>
    </xdr:to>
    <xdr:sp macro="" textlink="">
      <xdr:nvSpPr>
        <xdr:cNvPr id="3" name="TextBox 2">
          <a:extLst>
            <a:ext uri="{FF2B5EF4-FFF2-40B4-BE49-F238E27FC236}">
              <a16:creationId xmlns:a16="http://schemas.microsoft.com/office/drawing/2014/main" id="{EA7A8D41-1215-4229-A51E-79F02A1AECD5}"/>
            </a:ext>
          </a:extLst>
        </xdr:cNvPr>
        <xdr:cNvSpPr txBox="1"/>
      </xdr:nvSpPr>
      <xdr:spPr>
        <a:xfrm>
          <a:off x="123825" y="1152523"/>
          <a:ext cx="9515475" cy="3082290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Directions</a:t>
          </a:r>
          <a:endParaRPr lang="en-US" sz="1200">
            <a:effectLst/>
          </a:endParaRPr>
        </a:p>
        <a:p>
          <a:r>
            <a:rPr lang="en-US" sz="1100">
              <a:solidFill>
                <a:schemeClr val="dk1"/>
              </a:solidFill>
              <a:effectLst/>
              <a:latin typeface="+mn-lt"/>
              <a:ea typeface="+mn-ea"/>
              <a:cs typeface="+mn-cs"/>
            </a:rPr>
            <a:t>This Enterprise Budget is intended to be a practical approach for producers to evaluate profitability of their ewe flock enterprise.  It may also be used to assist with estimating projections for future years or changes to the enterprise.</a:t>
          </a:r>
        </a:p>
        <a:p>
          <a:endParaRPr lang="en-US" sz="1200">
            <a:effectLst/>
          </a:endParaRPr>
        </a:p>
        <a:p>
          <a:r>
            <a:rPr lang="en-US" sz="1100">
              <a:solidFill>
                <a:schemeClr val="dk1"/>
              </a:solidFill>
              <a:effectLst/>
              <a:latin typeface="+mn-lt"/>
              <a:ea typeface="+mn-ea"/>
              <a:cs typeface="+mn-cs"/>
            </a:rPr>
            <a:t>The cells that are </a:t>
          </a:r>
          <a:r>
            <a:rPr lang="en-US" sz="1100" i="1" u="sng">
              <a:solidFill>
                <a:schemeClr val="dk1"/>
              </a:solidFill>
              <a:effectLst/>
              <a:latin typeface="+mn-lt"/>
              <a:ea typeface="+mn-ea"/>
              <a:cs typeface="+mn-cs"/>
            </a:rPr>
            <a:t>light blue in color can be edited by the user</a:t>
          </a:r>
          <a:r>
            <a:rPr lang="en-US" sz="1100">
              <a:solidFill>
                <a:schemeClr val="dk1"/>
              </a:solidFill>
              <a:effectLst/>
              <a:latin typeface="+mn-lt"/>
              <a:ea typeface="+mn-ea"/>
              <a:cs typeface="+mn-cs"/>
            </a:rPr>
            <a:t>.  Cells that are yellow, pink and peach in color are calculated from user inputs and cannot be edited by the user.  The enterprise budget calculates revenue and expenses on a whole enterprise, per ewe, and per hundred weight of feeder lambs sold basis.  </a:t>
          </a:r>
        </a:p>
        <a:p>
          <a:r>
            <a:rPr lang="en-US" sz="1100" b="1">
              <a:solidFill>
                <a:schemeClr val="dk1"/>
              </a:solidFill>
              <a:effectLst/>
              <a:latin typeface="+mn-lt"/>
              <a:ea typeface="+mn-ea"/>
              <a:cs typeface="+mn-cs"/>
            </a:rPr>
            <a:t>The accuracy of the information generated is only as good and the information entered to calculate it.   </a:t>
          </a:r>
          <a:endParaRPr lang="en-US" sz="1200">
            <a:effectLst/>
          </a:endParaRPr>
        </a:p>
        <a:p>
          <a:r>
            <a:rPr lang="en-US" sz="1100" b="1">
              <a:solidFill>
                <a:schemeClr val="dk1"/>
              </a:solidFill>
              <a:effectLst/>
              <a:latin typeface="+mn-lt"/>
              <a:ea typeface="+mn-ea"/>
              <a:cs typeface="+mn-cs"/>
            </a:rPr>
            <a:t> </a:t>
          </a:r>
          <a:endParaRPr lang="en-US" sz="1200">
            <a:effectLst/>
          </a:endParaRPr>
        </a:p>
        <a:p>
          <a:r>
            <a:rPr lang="en-US" sz="1100">
              <a:solidFill>
                <a:schemeClr val="dk1"/>
              </a:solidFill>
              <a:effectLst/>
              <a:latin typeface="+mn-lt"/>
              <a:ea typeface="+mn-ea"/>
              <a:cs typeface="+mn-cs"/>
            </a:rPr>
            <a:t>If you encounter any problems with the spreadsheet contact </a:t>
          </a:r>
          <a:r>
            <a:rPr kumimoji="0" lang="en-US" sz="1100" b="0" i="0" u="none" strike="noStrike" kern="0" cap="none" spc="0" normalizeH="0" baseline="0" noProof="0">
              <a:ln>
                <a:noFill/>
              </a:ln>
              <a:solidFill>
                <a:prstClr val="black"/>
              </a:solidFill>
              <a:effectLst/>
              <a:uLnTx/>
              <a:uFillTx/>
              <a:latin typeface="+mn-lt"/>
              <a:ea typeface="+mn-ea"/>
              <a:cs typeface="+mn-cs"/>
            </a:rPr>
            <a:t>Carolyn Ihde at carolyn.ihde@wisc.edu, Amanda Cauffman at amanda.cauffman@wisc.edu. </a:t>
          </a:r>
          <a:r>
            <a:rPr lang="en-US" sz="1100">
              <a:solidFill>
                <a:schemeClr val="dk1"/>
              </a:solidFill>
              <a:effectLst/>
              <a:latin typeface="+mn-lt"/>
              <a:ea typeface="+mn-ea"/>
              <a:cs typeface="+mn-cs"/>
            </a:rPr>
            <a:t>Bill Halfman at </a:t>
          </a:r>
          <a:r>
            <a:rPr lang="en-US" sz="1100" u="sng">
              <a:solidFill>
                <a:schemeClr val="dk1"/>
              </a:solidFill>
              <a:effectLst/>
              <a:latin typeface="+mn-lt"/>
              <a:ea typeface="+mn-ea"/>
              <a:cs typeface="+mn-cs"/>
            </a:rPr>
            <a:t>william.halfman@wisc.edu</a:t>
          </a:r>
          <a:r>
            <a:rPr lang="en-US" sz="1100">
              <a:solidFill>
                <a:schemeClr val="dk1"/>
              </a:solidFill>
              <a:effectLst/>
              <a:latin typeface="+mn-lt"/>
              <a:ea typeface="+mn-ea"/>
              <a:cs typeface="+mn-cs"/>
            </a:rPr>
            <a:t>, Dr. Brenda Boetel at </a:t>
          </a:r>
          <a:r>
            <a:rPr lang="en-US" sz="1100" u="sng">
              <a:solidFill>
                <a:schemeClr val="dk1"/>
              </a:solidFill>
              <a:effectLst/>
              <a:latin typeface="+mn-lt"/>
              <a:ea typeface="+mn-ea"/>
              <a:cs typeface="+mn-cs"/>
            </a:rPr>
            <a:t>brenda.boetel@uwrf.edu</a:t>
          </a:r>
          <a:r>
            <a:rPr lang="en-US" sz="1100" u="none">
              <a:solidFill>
                <a:schemeClr val="dk1"/>
              </a:solidFill>
              <a:effectLst/>
              <a:latin typeface="+mn-lt"/>
              <a:ea typeface="+mn-ea"/>
              <a:cs typeface="+mn-cs"/>
            </a:rPr>
            <a:t>.</a:t>
          </a:r>
          <a:r>
            <a:rPr lang="en-US" sz="1100" u="none" baseline="0">
              <a:solidFill>
                <a:schemeClr val="dk1"/>
              </a:solidFill>
              <a:effectLst/>
              <a:latin typeface="+mn-lt"/>
              <a:ea typeface="+mn-ea"/>
              <a:cs typeface="+mn-cs"/>
            </a:rPr>
            <a:t> </a:t>
          </a:r>
          <a:r>
            <a:rPr lang="en-US" sz="1100">
              <a:solidFill>
                <a:schemeClr val="dk1"/>
              </a:solidFill>
              <a:effectLst/>
              <a:latin typeface="+mn-lt"/>
              <a:ea typeface="+mn-ea"/>
              <a:cs typeface="+mn-cs"/>
            </a:rPr>
            <a:t>The following directions will go through each section of the spreadsheet and provide some guidelines and explanation for what to enter.</a:t>
          </a:r>
        </a:p>
        <a:p>
          <a:endParaRPr lang="en-US" sz="1200">
            <a:effectLst/>
          </a:endParaRPr>
        </a:p>
        <a:p>
          <a:pPr eaLnBrk="1" fontAlgn="auto" latinLnBrk="0" hangingPunct="1"/>
          <a:r>
            <a:rPr lang="en-US" sz="1100" b="1" i="0" baseline="0">
              <a:solidFill>
                <a:schemeClr val="dk1"/>
              </a:solidFill>
              <a:effectLst/>
              <a:latin typeface="+mn-lt"/>
              <a:ea typeface="+mn-ea"/>
              <a:cs typeface="+mn-cs"/>
            </a:rPr>
            <a:t>Costs of production and breakeven can be calculated using two different methods in this spreadsheet: Enterprise Budget Method and Cash Flow Method.  </a:t>
          </a:r>
          <a:endParaRPr lang="en-US" sz="1200">
            <a:effectLst/>
          </a:endParaRPr>
        </a:p>
        <a:p>
          <a:pPr eaLnBrk="1" fontAlgn="auto" latinLnBrk="0" hangingPunct="1"/>
          <a:r>
            <a:rPr lang="en-US" sz="1100" b="1" i="0" baseline="0">
              <a:solidFill>
                <a:schemeClr val="dk1"/>
              </a:solidFill>
              <a:effectLst/>
              <a:latin typeface="+mn-lt"/>
              <a:ea typeface="+mn-ea"/>
              <a:cs typeface="+mn-cs"/>
            </a:rPr>
            <a:t> </a:t>
          </a:r>
          <a:endParaRPr lang="en-US" sz="1200">
            <a:effectLst/>
          </a:endParaRPr>
        </a:p>
        <a:p>
          <a:pPr eaLnBrk="1" fontAlgn="auto" latinLnBrk="0" hangingPunct="1"/>
          <a:r>
            <a:rPr lang="en-US" sz="1100" b="0" i="0" baseline="0">
              <a:solidFill>
                <a:schemeClr val="dk1"/>
              </a:solidFill>
              <a:effectLst/>
              <a:latin typeface="+mn-lt"/>
              <a:ea typeface="+mn-ea"/>
              <a:cs typeface="+mn-cs"/>
            </a:rPr>
            <a:t>Enterprise budget method includes the following expenses: depreciation, pro-rated purchased breeding stock expenses, cash expenses (except cash purchased overhead items), all opportunity cost. It does not include intermediate and long term debt principal payments.</a:t>
          </a:r>
          <a:endParaRPr lang="en-US" sz="1200">
            <a:effectLst/>
          </a:endParaRPr>
        </a:p>
        <a:p>
          <a:pPr eaLnBrk="1" fontAlgn="auto" latinLnBrk="0" hangingPunct="1"/>
          <a:r>
            <a:rPr lang="en-US" sz="1100" b="0" i="0" baseline="0">
              <a:solidFill>
                <a:schemeClr val="dk1"/>
              </a:solidFill>
              <a:effectLst/>
              <a:latin typeface="+mn-lt"/>
              <a:ea typeface="+mn-ea"/>
              <a:cs typeface="+mn-cs"/>
            </a:rPr>
            <a:t> </a:t>
          </a:r>
          <a:endParaRPr lang="en-US" sz="1200">
            <a:effectLst/>
          </a:endParaRPr>
        </a:p>
        <a:p>
          <a:pPr eaLnBrk="1" fontAlgn="auto" latinLnBrk="0" hangingPunct="1"/>
          <a:r>
            <a:rPr lang="en-US" sz="1100" b="0" i="0" baseline="0">
              <a:solidFill>
                <a:schemeClr val="dk1"/>
              </a:solidFill>
              <a:effectLst/>
              <a:latin typeface="+mn-lt"/>
              <a:ea typeface="+mn-ea"/>
              <a:cs typeface="+mn-cs"/>
            </a:rPr>
            <a:t>Cashflow budget method includes the following expenses: cash expenses (including breeding stock and capital purchases made with cash on hand in that production year), home grown feed costs, principal payments, It does NOT include depreciation, and opportunity costs on overhead.</a:t>
          </a:r>
        </a:p>
        <a:p>
          <a:pPr eaLnBrk="1" fontAlgn="auto" latinLnBrk="0" hangingPunct="1"/>
          <a:endParaRPr lang="en-US" sz="1200">
            <a:effectLst/>
          </a:endParaRPr>
        </a:p>
        <a:p>
          <a:r>
            <a:rPr lang="en-US" sz="1100" b="1">
              <a:solidFill>
                <a:schemeClr val="dk1"/>
              </a:solidFill>
              <a:effectLst/>
              <a:latin typeface="+mn-lt"/>
              <a:ea typeface="+mn-ea"/>
              <a:cs typeface="+mn-cs"/>
            </a:rPr>
            <a:t>The Enterprise</a:t>
          </a:r>
          <a:r>
            <a:rPr lang="en-US" sz="1100" b="1" baseline="0">
              <a:solidFill>
                <a:schemeClr val="dk1"/>
              </a:solidFill>
              <a:effectLst/>
              <a:latin typeface="+mn-lt"/>
              <a:ea typeface="+mn-ea"/>
              <a:cs typeface="+mn-cs"/>
            </a:rPr>
            <a:t> Budget Method is for </a:t>
          </a:r>
          <a:r>
            <a:rPr lang="en-US" sz="1100" b="1" i="0">
              <a:solidFill>
                <a:schemeClr val="dk1"/>
              </a:solidFill>
              <a:effectLst/>
              <a:latin typeface="+mn-lt"/>
              <a:ea typeface="+mn-ea"/>
              <a:cs typeface="+mn-cs"/>
            </a:rPr>
            <a:t>Planning/Estimating revenues, costs, and profits for a single enterprise. The enterprise budget method allows an examination of the profitability of that particular enterprise within the context of the overall business.</a:t>
          </a:r>
        </a:p>
        <a:p>
          <a:endParaRPr lang="en-US" sz="1200">
            <a:effectLst/>
          </a:endParaRPr>
        </a:p>
        <a:p>
          <a:r>
            <a:rPr lang="en-US" sz="1100" b="1" baseline="0">
              <a:solidFill>
                <a:schemeClr val="dk1"/>
              </a:solidFill>
              <a:effectLst/>
              <a:latin typeface="+mn-lt"/>
              <a:ea typeface="+mn-ea"/>
              <a:cs typeface="+mn-cs"/>
            </a:rPr>
            <a:t>The cash flow method is a</a:t>
          </a:r>
          <a:r>
            <a:rPr lang="en-US" sz="1100" b="0" i="0">
              <a:solidFill>
                <a:schemeClr val="dk1"/>
              </a:solidFill>
              <a:effectLst/>
              <a:latin typeface="+mn-lt"/>
              <a:ea typeface="+mn-ea"/>
              <a:cs typeface="+mn-cs"/>
            </a:rPr>
            <a:t> </a:t>
          </a:r>
          <a:r>
            <a:rPr lang="en-US" sz="1100" b="1" i="0">
              <a:solidFill>
                <a:schemeClr val="dk1"/>
              </a:solidFill>
              <a:effectLst/>
              <a:latin typeface="+mn-lt"/>
              <a:ea typeface="+mn-ea"/>
              <a:cs typeface="+mn-cs"/>
            </a:rPr>
            <a:t>planning document for cash management that shows projected/planned cash incomes and expenses (it is not a measure of profitability). It</a:t>
          </a:r>
          <a:r>
            <a:rPr lang="en-US" sz="1100" b="1" i="0" baseline="0">
              <a:solidFill>
                <a:schemeClr val="dk1"/>
              </a:solidFill>
              <a:effectLst/>
              <a:latin typeface="+mn-lt"/>
              <a:ea typeface="+mn-ea"/>
              <a:cs typeface="+mn-cs"/>
            </a:rPr>
            <a:t> is basically telling you if the income in one production cycle will pay for the cash expenses of that production cycle.</a:t>
          </a:r>
          <a:endParaRPr lang="en-US" sz="1200">
            <a:effectLst/>
          </a:endParaRPr>
        </a:p>
        <a:p>
          <a:endParaRPr lang="en-US" sz="1100" b="1">
            <a:solidFill>
              <a:schemeClr val="dk1"/>
            </a:solidFill>
            <a:effectLst/>
            <a:latin typeface="+mn-lt"/>
            <a:ea typeface="+mn-ea"/>
            <a:cs typeface="+mn-cs"/>
          </a:endParaRPr>
        </a:p>
        <a:p>
          <a:r>
            <a:rPr lang="en-US" sz="1100" b="1">
              <a:solidFill>
                <a:schemeClr val="dk1"/>
              </a:solidFill>
              <a:effectLst/>
              <a:latin typeface="+mn-lt"/>
              <a:ea typeface="+mn-ea"/>
              <a:cs typeface="+mn-cs"/>
            </a:rPr>
            <a:t>Sheep numbers and values</a:t>
          </a:r>
          <a:endParaRPr lang="en-US" sz="1200">
            <a:effectLst/>
          </a:endParaRPr>
        </a:p>
        <a:p>
          <a:r>
            <a:rPr lang="en-US" sz="1100">
              <a:solidFill>
                <a:schemeClr val="dk1"/>
              </a:solidFill>
              <a:effectLst/>
              <a:latin typeface="+mn-lt"/>
              <a:ea typeface="+mn-ea"/>
              <a:cs typeface="+mn-cs"/>
            </a:rPr>
            <a:t>At the top of the spreadsheet enter in the number of ewes owned at the beginning of this annual cycle that should lamb during this cycle. This is used to calculate out the budget on a per ewe basis and used to calculate opportunity cost of owning the ewes.</a:t>
          </a:r>
          <a:endParaRPr lang="en-US" sz="1200">
            <a:effectLst/>
          </a:endParaRPr>
        </a:p>
        <a:p>
          <a:endParaRPr lang="en-US" sz="1100" b="1">
            <a:solidFill>
              <a:schemeClr val="dk1"/>
            </a:solidFill>
            <a:effectLst/>
            <a:latin typeface="+mn-lt"/>
            <a:ea typeface="+mn-ea"/>
            <a:cs typeface="+mn-cs"/>
          </a:endParaRPr>
        </a:p>
        <a:p>
          <a:r>
            <a:rPr lang="en-US" sz="1100" b="1">
              <a:solidFill>
                <a:schemeClr val="dk1"/>
              </a:solidFill>
              <a:effectLst/>
              <a:latin typeface="+mn-lt"/>
              <a:ea typeface="+mn-ea"/>
              <a:cs typeface="+mn-cs"/>
            </a:rPr>
            <a:t>Revenue</a:t>
          </a:r>
          <a:endParaRPr lang="en-US" sz="1200">
            <a:effectLst/>
          </a:endParaRPr>
        </a:p>
        <a:p>
          <a:r>
            <a:rPr lang="en-US" sz="1100">
              <a:solidFill>
                <a:schemeClr val="dk1"/>
              </a:solidFill>
              <a:effectLst/>
              <a:latin typeface="+mn-lt"/>
              <a:ea typeface="+mn-ea"/>
              <a:cs typeface="+mn-cs"/>
            </a:rPr>
            <a:t>The FLOCK BUDGET is based on the premise that the sheep</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operation is selling the majority of the lambs as feeder lambs.  </a:t>
          </a:r>
          <a:endParaRPr lang="en-US" sz="1200">
            <a:effectLst/>
          </a:endParaRPr>
        </a:p>
        <a:p>
          <a:r>
            <a:rPr lang="en-US" sz="1100">
              <a:solidFill>
                <a:schemeClr val="dk1"/>
              </a:solidFill>
              <a:effectLst/>
              <a:latin typeface="+mn-lt"/>
              <a:ea typeface="+mn-ea"/>
              <a:cs typeface="+mn-cs"/>
            </a:rPr>
            <a:t>Enter in the total revenue from the sale of cull ewes and rams, due to variability in prices and timing of sales, a total entry for them is easier to track.</a:t>
          </a:r>
          <a:endParaRPr lang="en-US" sz="1200">
            <a:effectLst/>
          </a:endParaRPr>
        </a:p>
        <a:p>
          <a:r>
            <a:rPr lang="en-US" sz="1100">
              <a:solidFill>
                <a:schemeClr val="dk1"/>
              </a:solidFill>
              <a:effectLst/>
              <a:latin typeface="+mn-lt"/>
              <a:ea typeface="+mn-ea"/>
              <a:cs typeface="+mn-cs"/>
            </a:rPr>
            <a:t>The </a:t>
          </a:r>
          <a:r>
            <a:rPr lang="en-US" sz="1100" u="sng">
              <a:solidFill>
                <a:schemeClr val="dk1"/>
              </a:solidFill>
              <a:effectLst/>
              <a:latin typeface="+mn-lt"/>
              <a:ea typeface="+mn-ea"/>
              <a:cs typeface="+mn-cs"/>
            </a:rPr>
            <a:t>Other Livestock Sales</a:t>
          </a:r>
          <a:r>
            <a:rPr lang="en-US" sz="1100">
              <a:solidFill>
                <a:schemeClr val="dk1"/>
              </a:solidFill>
              <a:effectLst/>
              <a:latin typeface="+mn-lt"/>
              <a:ea typeface="+mn-ea"/>
              <a:cs typeface="+mn-cs"/>
            </a:rPr>
            <a:t> can be used to account for any breeding stock sold, or any animals sold directly to consumers to eat, presuming those are a small percentage of animals sold.  Make sure to include the costs of raising the </a:t>
          </a:r>
          <a:r>
            <a:rPr lang="en-US" sz="1100" u="sng">
              <a:solidFill>
                <a:schemeClr val="dk1"/>
              </a:solidFill>
              <a:effectLst/>
              <a:latin typeface="+mn-lt"/>
              <a:ea typeface="+mn-ea"/>
              <a:cs typeface="+mn-cs"/>
            </a:rPr>
            <a:t>Other Livestock Sales</a:t>
          </a:r>
          <a:r>
            <a:rPr lang="en-US" sz="1100">
              <a:solidFill>
                <a:schemeClr val="dk1"/>
              </a:solidFill>
              <a:effectLst/>
              <a:latin typeface="+mn-lt"/>
              <a:ea typeface="+mn-ea"/>
              <a:cs typeface="+mn-cs"/>
            </a:rPr>
            <a:t> animals in the expenses sections.</a:t>
          </a:r>
          <a:endParaRPr lang="en-US" sz="1200">
            <a:effectLst/>
          </a:endParaRPr>
        </a:p>
        <a:p>
          <a:endParaRPr lang="en-US" sz="1100" b="1">
            <a:solidFill>
              <a:schemeClr val="dk1"/>
            </a:solidFill>
            <a:effectLst/>
            <a:latin typeface="+mn-lt"/>
            <a:ea typeface="+mn-ea"/>
            <a:cs typeface="+mn-cs"/>
          </a:endParaRPr>
        </a:p>
        <a:p>
          <a:r>
            <a:rPr lang="en-US" sz="1100" b="1">
              <a:solidFill>
                <a:schemeClr val="dk1"/>
              </a:solidFill>
              <a:effectLst/>
              <a:latin typeface="+mn-lt"/>
              <a:ea typeface="+mn-ea"/>
              <a:cs typeface="+mn-cs"/>
            </a:rPr>
            <a:t>Expenses</a:t>
          </a:r>
          <a:endParaRPr lang="en-US" sz="1200">
            <a:effectLst/>
          </a:endParaRPr>
        </a:p>
        <a:p>
          <a:r>
            <a:rPr lang="en-US" sz="1100" b="1">
              <a:solidFill>
                <a:schemeClr val="dk1"/>
              </a:solidFill>
              <a:effectLst/>
              <a:latin typeface="+mn-lt"/>
              <a:ea typeface="+mn-ea"/>
              <a:cs typeface="+mn-cs"/>
            </a:rPr>
            <a:t>General Instructions:  </a:t>
          </a:r>
          <a:r>
            <a:rPr lang="en-US" sz="1100">
              <a:solidFill>
                <a:schemeClr val="dk1"/>
              </a:solidFill>
              <a:effectLst/>
              <a:latin typeface="+mn-lt"/>
              <a:ea typeface="+mn-ea"/>
              <a:cs typeface="+mn-cs"/>
            </a:rPr>
            <a:t>enter items used throughout the year, quantity used, purchase price, or fair market value if homegrown.  Some may be regularly occurring expenses, such as feed.  Also consider infrequent expenses you may have such as ear tags, pasture seeding, etc.  </a:t>
          </a:r>
          <a:endParaRPr lang="en-US" sz="1200">
            <a:effectLst/>
          </a:endParaRPr>
        </a:p>
        <a:p>
          <a:r>
            <a:rPr lang="en-US" sz="1100" b="1">
              <a:solidFill>
                <a:schemeClr val="dk1"/>
              </a:solidFill>
              <a:effectLst/>
              <a:latin typeface="+mn-lt"/>
              <a:ea typeface="+mn-ea"/>
              <a:cs typeface="+mn-cs"/>
            </a:rPr>
            <a:t> </a:t>
          </a:r>
          <a:endParaRPr lang="en-US" sz="1200">
            <a:effectLst/>
          </a:endParaRPr>
        </a:p>
        <a:p>
          <a:r>
            <a:rPr lang="en-US" sz="1100" b="1">
              <a:solidFill>
                <a:schemeClr val="dk1"/>
              </a:solidFill>
              <a:effectLst/>
              <a:latin typeface="+mn-lt"/>
              <a:ea typeface="+mn-ea"/>
              <a:cs typeface="+mn-cs"/>
            </a:rPr>
            <a:t>Home Grown Feed</a:t>
          </a:r>
          <a:endParaRPr lang="en-US" sz="1200">
            <a:effectLst/>
          </a:endParaRPr>
        </a:p>
        <a:p>
          <a:r>
            <a:rPr lang="en-US" sz="1100">
              <a:solidFill>
                <a:schemeClr val="dk1"/>
              </a:solidFill>
              <a:effectLst/>
              <a:latin typeface="+mn-lt"/>
              <a:ea typeface="+mn-ea"/>
              <a:cs typeface="+mn-cs"/>
            </a:rPr>
            <a:t>This budget tool is set up to evaluate the ewe enterprise.</a:t>
          </a:r>
          <a:endParaRPr lang="en-US" sz="1200">
            <a:effectLst/>
          </a:endParaRPr>
        </a:p>
        <a:p>
          <a:r>
            <a:rPr lang="en-US" sz="1100">
              <a:solidFill>
                <a:schemeClr val="dk1"/>
              </a:solidFill>
              <a:effectLst/>
              <a:latin typeface="+mn-lt"/>
              <a:ea typeface="+mn-ea"/>
              <a:cs typeface="+mn-cs"/>
            </a:rPr>
            <a:t>We suggest that users use one of two options to determine a value for home grown feed.  We also suggest sticking to one method for home grown feeds, not mix the two.</a:t>
          </a:r>
          <a:endParaRPr lang="en-US" sz="1200">
            <a:effectLst/>
          </a:endParaRPr>
        </a:p>
        <a:p>
          <a:r>
            <a:rPr lang="en-US" sz="1100">
              <a:solidFill>
                <a:schemeClr val="dk1"/>
              </a:solidFill>
              <a:effectLst/>
              <a:latin typeface="+mn-lt"/>
              <a:ea typeface="+mn-ea"/>
              <a:cs typeface="+mn-cs"/>
            </a:rPr>
            <a:t>Option 1. Use a reasonable fair market value that it could be sold for.  This provides an opportunity cost for the home grown feed. This will be the simplest method.</a:t>
          </a:r>
          <a:endParaRPr lang="en-US" sz="1200">
            <a:effectLst/>
          </a:endParaRPr>
        </a:p>
        <a:p>
          <a:r>
            <a:rPr lang="en-US" sz="1100">
              <a:solidFill>
                <a:schemeClr val="dk1"/>
              </a:solidFill>
              <a:effectLst/>
              <a:latin typeface="+mn-lt"/>
              <a:ea typeface="+mn-ea"/>
              <a:cs typeface="+mn-cs"/>
            </a:rPr>
            <a:t>Option 2. Determine a cost of production for the home grown feed using a budgeting tool similar to this spreadsheet, but designed to calculate costs of production for crops. UW Extension and other University Extensions do have these type of spreadsheets available. We did not included crops cost of production tools in this spreadsheet as it would become larger and we want to keep in central to just the ewe enterprise rather than a whole farm or multiple enterprise tool.   </a:t>
          </a:r>
          <a:endParaRPr lang="en-US" sz="1200">
            <a:effectLst/>
          </a:endParaRPr>
        </a:p>
        <a:p>
          <a:r>
            <a:rPr lang="en-US" sz="1100">
              <a:solidFill>
                <a:schemeClr val="dk1"/>
              </a:solidFill>
              <a:effectLst/>
              <a:latin typeface="+mn-lt"/>
              <a:ea typeface="+mn-ea"/>
              <a:cs typeface="+mn-cs"/>
            </a:rPr>
            <a:t>The User can change feedstuffs and units as they best fit their operation.  For example if they would rather determine hay usage in bales rather than tons, and have a market value on a per bale basis, it can be entered as such.</a:t>
          </a:r>
          <a:endParaRPr lang="en-US" sz="1200">
            <a:effectLst/>
          </a:endParaRPr>
        </a:p>
        <a:p>
          <a:endParaRPr lang="en-US" sz="1100" b="1">
            <a:solidFill>
              <a:schemeClr val="dk1"/>
            </a:solidFill>
            <a:effectLst/>
            <a:latin typeface="+mn-lt"/>
            <a:ea typeface="+mn-ea"/>
            <a:cs typeface="+mn-cs"/>
          </a:endParaRPr>
        </a:p>
        <a:p>
          <a:r>
            <a:rPr lang="en-US" sz="1100" b="1">
              <a:solidFill>
                <a:schemeClr val="dk1"/>
              </a:solidFill>
              <a:effectLst/>
              <a:latin typeface="+mn-lt"/>
              <a:ea typeface="+mn-ea"/>
              <a:cs typeface="+mn-cs"/>
            </a:rPr>
            <a:t>Purchased Feed</a:t>
          </a:r>
          <a:endParaRPr lang="en-US" sz="1200">
            <a:effectLst/>
          </a:endParaRPr>
        </a:p>
        <a:p>
          <a:r>
            <a:rPr lang="en-US" sz="1100">
              <a:solidFill>
                <a:schemeClr val="dk1"/>
              </a:solidFill>
              <a:effectLst/>
              <a:latin typeface="+mn-lt"/>
              <a:ea typeface="+mn-ea"/>
              <a:cs typeface="+mn-cs"/>
            </a:rPr>
            <a:t>Purchased feed quantities and costs should be easily obtained from records from suppliers and payments made.</a:t>
          </a:r>
          <a:endParaRPr lang="en-US" sz="1200">
            <a:effectLst/>
          </a:endParaRPr>
        </a:p>
        <a:p>
          <a:r>
            <a:rPr lang="en-US" sz="1100">
              <a:solidFill>
                <a:schemeClr val="dk1"/>
              </a:solidFill>
              <a:effectLst/>
              <a:latin typeface="+mn-lt"/>
              <a:ea typeface="+mn-ea"/>
              <a:cs typeface="+mn-cs"/>
            </a:rPr>
            <a:t>Be cautious to not include any pre-purchased feed that may be on hand for use in the next year.</a:t>
          </a:r>
          <a:endParaRPr lang="en-US" sz="1200">
            <a:effectLst/>
          </a:endParaRPr>
        </a:p>
        <a:p>
          <a:r>
            <a:rPr lang="en-US" sz="1100">
              <a:solidFill>
                <a:schemeClr val="dk1"/>
              </a:solidFill>
              <a:effectLst/>
              <a:latin typeface="+mn-lt"/>
              <a:ea typeface="+mn-ea"/>
              <a:cs typeface="+mn-cs"/>
            </a:rPr>
            <a:t>If there are multiple livestock enterprises on the farm it may be necessary to sort through records to only include those used for the ewe enterprise.</a:t>
          </a:r>
          <a:endParaRPr lang="en-US" sz="1200">
            <a:effectLst/>
          </a:endParaRPr>
        </a:p>
        <a:p>
          <a:endParaRPr lang="en-US" sz="1100" b="1">
            <a:solidFill>
              <a:schemeClr val="dk1"/>
            </a:solidFill>
            <a:effectLst/>
            <a:latin typeface="+mn-lt"/>
            <a:ea typeface="+mn-ea"/>
            <a:cs typeface="+mn-cs"/>
          </a:endParaRPr>
        </a:p>
        <a:p>
          <a:r>
            <a:rPr lang="en-US" sz="1100" b="1">
              <a:solidFill>
                <a:schemeClr val="dk1"/>
              </a:solidFill>
              <a:effectLst/>
              <a:latin typeface="+mn-lt"/>
              <a:ea typeface="+mn-ea"/>
              <a:cs typeface="+mn-cs"/>
            </a:rPr>
            <a:t>Bedding</a:t>
          </a:r>
          <a:endParaRPr lang="en-US" sz="1200">
            <a:effectLst/>
          </a:endParaRPr>
        </a:p>
        <a:p>
          <a:r>
            <a:rPr lang="en-US" sz="1100">
              <a:solidFill>
                <a:schemeClr val="dk1"/>
              </a:solidFill>
              <a:effectLst/>
              <a:latin typeface="+mn-lt"/>
              <a:ea typeface="+mn-ea"/>
              <a:cs typeface="+mn-cs"/>
            </a:rPr>
            <a:t>Purchased price can be used for purchased bedding.</a:t>
          </a:r>
          <a:endParaRPr lang="en-US" sz="1200">
            <a:effectLst/>
          </a:endParaRPr>
        </a:p>
        <a:p>
          <a:r>
            <a:rPr lang="en-US" sz="1100">
              <a:solidFill>
                <a:schemeClr val="dk1"/>
              </a:solidFill>
              <a:effectLst/>
              <a:latin typeface="+mn-lt"/>
              <a:ea typeface="+mn-ea"/>
              <a:cs typeface="+mn-cs"/>
            </a:rPr>
            <a:t>Market value can be used for home harvested bedding.  When using opportunity cost, do not count harvest machinery costs, those should be accounted for in market value of the bedding, and would result in double counting of the costs.</a:t>
          </a:r>
          <a:endParaRPr lang="en-US" sz="1200">
            <a:effectLst/>
          </a:endParaRPr>
        </a:p>
        <a:p>
          <a:r>
            <a:rPr lang="en-US" sz="1100">
              <a:solidFill>
                <a:schemeClr val="dk1"/>
              </a:solidFill>
              <a:effectLst/>
              <a:latin typeface="+mn-lt"/>
              <a:ea typeface="+mn-ea"/>
              <a:cs typeface="+mn-cs"/>
            </a:rPr>
            <a:t>Useful links </a:t>
          </a:r>
          <a:endParaRPr lang="en-US" sz="1200">
            <a:effectLst/>
          </a:endParaRPr>
        </a:p>
        <a:p>
          <a:r>
            <a:rPr lang="en-US" sz="1100">
              <a:solidFill>
                <a:schemeClr val="dk1"/>
              </a:solidFill>
              <a:effectLst/>
              <a:latin typeface="+mn-lt"/>
              <a:ea typeface="+mn-ea"/>
              <a:cs typeface="+mn-cs"/>
            </a:rPr>
            <a:t>“Forage Inventory Tool” </a:t>
          </a:r>
          <a:r>
            <a:rPr lang="en-US" sz="1100" u="sng">
              <a:solidFill>
                <a:schemeClr val="dk1"/>
              </a:solidFill>
              <a:effectLst/>
              <a:latin typeface="+mn-lt"/>
              <a:ea typeface="+mn-ea"/>
              <a:cs typeface="+mn-cs"/>
            </a:rPr>
            <a:t> https://livestock.extension.wisc.edu/article-topic/decision-tools-and-software/</a:t>
          </a:r>
          <a:endParaRPr lang="en-US" sz="1200">
            <a:effectLst/>
          </a:endParaRPr>
        </a:p>
        <a:p>
          <a:r>
            <a:rPr lang="en-US" sz="1100">
              <a:solidFill>
                <a:schemeClr val="dk1"/>
              </a:solidFill>
              <a:effectLst/>
              <a:latin typeface="+mn-lt"/>
              <a:ea typeface="+mn-ea"/>
              <a:cs typeface="+mn-cs"/>
            </a:rPr>
            <a:t>“Hay Market Reports” </a:t>
          </a:r>
          <a:r>
            <a:rPr lang="en-US" sz="1100" u="sng">
              <a:solidFill>
                <a:schemeClr val="dk1"/>
              </a:solidFill>
              <a:effectLst/>
              <a:latin typeface="+mn-lt"/>
              <a:ea typeface="+mn-ea"/>
              <a:cs typeface="+mn-cs"/>
            </a:rPr>
            <a:t>http://fyi.uwex.edu/forage/h-m-r/</a:t>
          </a:r>
          <a:endParaRPr lang="en-US" sz="1200">
            <a:effectLst/>
          </a:endParaRPr>
        </a:p>
        <a:p>
          <a:endParaRPr lang="en-US" sz="1100" b="1">
            <a:solidFill>
              <a:schemeClr val="dk1"/>
            </a:solidFill>
            <a:effectLst/>
            <a:latin typeface="+mn-lt"/>
            <a:ea typeface="+mn-ea"/>
            <a:cs typeface="+mn-cs"/>
          </a:endParaRPr>
        </a:p>
        <a:p>
          <a:r>
            <a:rPr lang="en-US" sz="1100" b="1">
              <a:solidFill>
                <a:schemeClr val="dk1"/>
              </a:solidFill>
              <a:effectLst/>
              <a:latin typeface="+mn-lt"/>
              <a:ea typeface="+mn-ea"/>
              <a:cs typeface="+mn-cs"/>
            </a:rPr>
            <a:t>Veterinary, Medicine and Breeding</a:t>
          </a:r>
          <a:endParaRPr lang="en-US" sz="1200">
            <a:effectLst/>
          </a:endParaRPr>
        </a:p>
        <a:p>
          <a:r>
            <a:rPr lang="en-US" sz="1100">
              <a:solidFill>
                <a:schemeClr val="dk1"/>
              </a:solidFill>
              <a:effectLst/>
              <a:latin typeface="+mn-lt"/>
              <a:ea typeface="+mn-ea"/>
              <a:cs typeface="+mn-cs"/>
            </a:rPr>
            <a:t>This section is for expenses dealing with overall health management and reproduction of the ewe</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enterprise.</a:t>
          </a:r>
          <a:endParaRPr lang="en-US" sz="1200">
            <a:effectLst/>
          </a:endParaRPr>
        </a:p>
        <a:p>
          <a:r>
            <a:rPr lang="en-US" sz="1100">
              <a:solidFill>
                <a:schemeClr val="dk1"/>
              </a:solidFill>
              <a:effectLst/>
              <a:latin typeface="+mn-lt"/>
              <a:ea typeface="+mn-ea"/>
              <a:cs typeface="+mn-cs"/>
            </a:rPr>
            <a:t>Enter in the annual costs for items related to herd health and reproduction.</a:t>
          </a:r>
          <a:endParaRPr lang="en-US" sz="1200">
            <a:effectLst/>
          </a:endParaRPr>
        </a:p>
        <a:p>
          <a:endParaRPr lang="en-US" sz="1100" b="1">
            <a:solidFill>
              <a:schemeClr val="dk1"/>
            </a:solidFill>
            <a:effectLst/>
            <a:latin typeface="+mn-lt"/>
            <a:ea typeface="+mn-ea"/>
            <a:cs typeface="+mn-cs"/>
          </a:endParaRPr>
        </a:p>
        <a:p>
          <a:r>
            <a:rPr lang="en-US" sz="1100" b="1">
              <a:solidFill>
                <a:schemeClr val="dk1"/>
              </a:solidFill>
              <a:effectLst/>
              <a:latin typeface="+mn-lt"/>
              <a:ea typeface="+mn-ea"/>
              <a:cs typeface="+mn-cs"/>
            </a:rPr>
            <a:t>Pasture Expenses</a:t>
          </a:r>
          <a:endParaRPr lang="en-US" sz="1200">
            <a:effectLst/>
          </a:endParaRPr>
        </a:p>
        <a:p>
          <a:r>
            <a:rPr lang="en-US" sz="1100">
              <a:solidFill>
                <a:schemeClr val="dk1"/>
              </a:solidFill>
              <a:effectLst/>
              <a:latin typeface="+mn-lt"/>
              <a:ea typeface="+mn-ea"/>
              <a:cs typeface="+mn-cs"/>
            </a:rPr>
            <a:t>This section should include direct expenses for pasture like herbicide, seed, and fertilizer.</a:t>
          </a:r>
          <a:endParaRPr lang="en-US" sz="1200">
            <a:effectLst/>
          </a:endParaRPr>
        </a:p>
        <a:p>
          <a:r>
            <a:rPr lang="en-US" sz="1100">
              <a:solidFill>
                <a:schemeClr val="dk1"/>
              </a:solidFill>
              <a:effectLst/>
              <a:latin typeface="+mn-lt"/>
              <a:ea typeface="+mn-ea"/>
              <a:cs typeface="+mn-cs"/>
            </a:rPr>
            <a:t>If you include repair items like fencing materials, do not include them in the repairs section in related expenses.</a:t>
          </a:r>
          <a:endParaRPr lang="en-US" sz="1200">
            <a:effectLst/>
          </a:endParaRPr>
        </a:p>
        <a:p>
          <a:r>
            <a:rPr lang="en-US" sz="1100">
              <a:solidFill>
                <a:schemeClr val="dk1"/>
              </a:solidFill>
              <a:effectLst/>
              <a:latin typeface="+mn-lt"/>
              <a:ea typeface="+mn-ea"/>
              <a:cs typeface="+mn-cs"/>
            </a:rPr>
            <a:t>Rented pasture rental payments should be included here.</a:t>
          </a:r>
          <a:endParaRPr lang="en-US" sz="1200">
            <a:effectLst/>
          </a:endParaRPr>
        </a:p>
        <a:p>
          <a:endParaRPr lang="en-US" sz="1100" b="1">
            <a:solidFill>
              <a:schemeClr val="dk1"/>
            </a:solidFill>
            <a:effectLst/>
            <a:latin typeface="+mn-lt"/>
            <a:ea typeface="+mn-ea"/>
            <a:cs typeface="+mn-cs"/>
          </a:endParaRPr>
        </a:p>
        <a:p>
          <a:r>
            <a:rPr lang="en-US" sz="1100" b="1">
              <a:solidFill>
                <a:schemeClr val="dk1"/>
              </a:solidFill>
              <a:effectLst/>
              <a:latin typeface="+mn-lt"/>
              <a:ea typeface="+mn-ea"/>
              <a:cs typeface="+mn-cs"/>
            </a:rPr>
            <a:t>Other Direct Expenses</a:t>
          </a:r>
          <a:endParaRPr lang="en-US" sz="1200">
            <a:effectLst/>
          </a:endParaRPr>
        </a:p>
        <a:p>
          <a:r>
            <a:rPr lang="en-US" sz="1100">
              <a:solidFill>
                <a:schemeClr val="dk1"/>
              </a:solidFill>
              <a:effectLst/>
              <a:latin typeface="+mn-lt"/>
              <a:ea typeface="+mn-ea"/>
              <a:cs typeface="+mn-cs"/>
            </a:rPr>
            <a:t>This section is a list of various common direct expenses that do not fit into the above categories.</a:t>
          </a:r>
          <a:endParaRPr lang="en-US" sz="1200">
            <a:effectLst/>
          </a:endParaRPr>
        </a:p>
        <a:p>
          <a:r>
            <a:rPr lang="en-US" sz="1100">
              <a:solidFill>
                <a:schemeClr val="dk1"/>
              </a:solidFill>
              <a:effectLst/>
              <a:latin typeface="+mn-lt"/>
              <a:ea typeface="+mn-ea"/>
              <a:cs typeface="+mn-cs"/>
            </a:rPr>
            <a:t>Enter those incurred by the ewe</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enterprise.</a:t>
          </a:r>
          <a:endParaRPr lang="en-US" sz="1200">
            <a:effectLst/>
          </a:endParaRPr>
        </a:p>
        <a:p>
          <a:endParaRPr lang="en-US" sz="1100" b="1">
            <a:solidFill>
              <a:schemeClr val="dk1"/>
            </a:solidFill>
            <a:effectLst/>
            <a:latin typeface="+mn-lt"/>
            <a:ea typeface="+mn-ea"/>
            <a:cs typeface="+mn-cs"/>
          </a:endParaRPr>
        </a:p>
        <a:p>
          <a:r>
            <a:rPr lang="en-US" sz="1100" b="1">
              <a:solidFill>
                <a:schemeClr val="dk1"/>
              </a:solidFill>
              <a:effectLst/>
              <a:latin typeface="+mn-lt"/>
              <a:ea typeface="+mn-ea"/>
              <a:cs typeface="+mn-cs"/>
            </a:rPr>
            <a:t>Direct Expenses Summary and Opportunity Costs for Direct Expenses</a:t>
          </a:r>
          <a:endParaRPr lang="en-US" sz="1200">
            <a:effectLst/>
          </a:endParaRPr>
        </a:p>
        <a:p>
          <a:r>
            <a:rPr lang="en-US" sz="1100">
              <a:solidFill>
                <a:schemeClr val="dk1"/>
              </a:solidFill>
              <a:effectLst/>
              <a:latin typeface="+mn-lt"/>
              <a:ea typeface="+mn-ea"/>
              <a:cs typeface="+mn-cs"/>
            </a:rPr>
            <a:t>This section totals up all direct expenses and has a place for the user to enter in an appropriate interest rate to calculate an opportunity cost for the direct expenses.  It assumes an average expense time of 6 months for direct expenses.</a:t>
          </a:r>
          <a:endParaRPr lang="en-US" sz="1200">
            <a:effectLst/>
          </a:endParaRPr>
        </a:p>
        <a:p>
          <a:endParaRPr lang="en-US" sz="1100" b="1">
            <a:solidFill>
              <a:schemeClr val="dk1"/>
            </a:solidFill>
            <a:effectLst/>
            <a:latin typeface="+mn-lt"/>
            <a:ea typeface="+mn-ea"/>
            <a:cs typeface="+mn-cs"/>
          </a:endParaRPr>
        </a:p>
        <a:p>
          <a:r>
            <a:rPr lang="en-US" sz="1100" b="1">
              <a:solidFill>
                <a:schemeClr val="dk1"/>
              </a:solidFill>
              <a:effectLst/>
              <a:latin typeface="+mn-lt"/>
              <a:ea typeface="+mn-ea"/>
              <a:cs typeface="+mn-cs"/>
            </a:rPr>
            <a:t>Overhead expense categories are listed next in the spreadsheet tool</a:t>
          </a:r>
          <a:endParaRPr lang="en-US" sz="1200">
            <a:effectLst/>
          </a:endParaRPr>
        </a:p>
        <a:p>
          <a:r>
            <a:rPr lang="en-US" sz="1100">
              <a:solidFill>
                <a:schemeClr val="dk1"/>
              </a:solidFill>
              <a:effectLst/>
              <a:latin typeface="+mn-lt"/>
              <a:ea typeface="+mn-ea"/>
              <a:cs typeface="+mn-cs"/>
            </a:rPr>
            <a:t>Each overhead expense section has a place to enter an appropriate interest rate to calculate opportunity cost for that category.</a:t>
          </a:r>
          <a:endParaRPr lang="en-US" sz="1200">
            <a:effectLst/>
          </a:endParaRPr>
        </a:p>
        <a:p>
          <a:endParaRPr lang="en-US" sz="1100" b="1">
            <a:solidFill>
              <a:schemeClr val="dk1"/>
            </a:solidFill>
            <a:effectLst/>
            <a:latin typeface="+mn-lt"/>
            <a:ea typeface="+mn-ea"/>
            <a:cs typeface="+mn-cs"/>
          </a:endParaRPr>
        </a:p>
        <a:p>
          <a:r>
            <a:rPr lang="en-US" sz="1100" b="1">
              <a:solidFill>
                <a:schemeClr val="dk1"/>
              </a:solidFill>
              <a:effectLst/>
              <a:latin typeface="+mn-lt"/>
              <a:ea typeface="+mn-ea"/>
              <a:cs typeface="+mn-cs"/>
            </a:rPr>
            <a:t>Home Raised Ewes</a:t>
          </a:r>
          <a:endParaRPr lang="en-US" sz="1200">
            <a:effectLst/>
          </a:endParaRPr>
        </a:p>
        <a:p>
          <a:r>
            <a:rPr lang="en-US" sz="1100">
              <a:solidFill>
                <a:schemeClr val="dk1"/>
              </a:solidFill>
              <a:effectLst/>
              <a:latin typeface="+mn-lt"/>
              <a:ea typeface="+mn-ea"/>
              <a:cs typeface="+mn-cs"/>
            </a:rPr>
            <a:t>In this section we have listed five</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age groups where the ewes should have similar values based on their age.  Enter the number of young that are being raised</a:t>
          </a:r>
          <a:r>
            <a:rPr lang="en-US" sz="1100" baseline="0">
              <a:solidFill>
                <a:schemeClr val="dk1"/>
              </a:solidFill>
              <a:effectLst/>
              <a:latin typeface="+mn-lt"/>
              <a:ea typeface="+mn-ea"/>
              <a:cs typeface="+mn-cs"/>
            </a:rPr>
            <a:t> as replacements but won't lamb in this budget and the </a:t>
          </a:r>
          <a:r>
            <a:rPr lang="en-US" sz="1100">
              <a:solidFill>
                <a:schemeClr val="dk1"/>
              </a:solidFill>
              <a:effectLst/>
              <a:latin typeface="+mn-lt"/>
              <a:ea typeface="+mn-ea"/>
              <a:cs typeface="+mn-cs"/>
            </a:rPr>
            <a:t>ewes in the herd that lamb or should have lambed in this production cycle for each age group and an average per head value for each age group.</a:t>
          </a:r>
          <a:endParaRPr lang="en-US" sz="1200">
            <a:effectLst/>
          </a:endParaRPr>
        </a:p>
        <a:p>
          <a:endParaRPr lang="en-US" sz="1100" b="1">
            <a:solidFill>
              <a:schemeClr val="dk1"/>
            </a:solidFill>
            <a:effectLst/>
            <a:latin typeface="+mn-lt"/>
            <a:ea typeface="+mn-ea"/>
            <a:cs typeface="+mn-cs"/>
          </a:endParaRPr>
        </a:p>
        <a:p>
          <a:r>
            <a:rPr lang="en-US" sz="1100" b="1">
              <a:solidFill>
                <a:schemeClr val="dk1"/>
              </a:solidFill>
              <a:effectLst/>
              <a:latin typeface="+mn-lt"/>
              <a:ea typeface="+mn-ea"/>
              <a:cs typeface="+mn-cs"/>
            </a:rPr>
            <a:t>Breeding Livestock Purchases</a:t>
          </a:r>
          <a:endParaRPr lang="en-US" sz="1200">
            <a:effectLst/>
          </a:endParaRPr>
        </a:p>
        <a:p>
          <a:r>
            <a:rPr lang="en-US" sz="1100">
              <a:solidFill>
                <a:schemeClr val="dk1"/>
              </a:solidFill>
              <a:effectLst/>
              <a:latin typeface="+mn-lt"/>
              <a:ea typeface="+mn-ea"/>
              <a:cs typeface="+mn-cs"/>
            </a:rPr>
            <a:t>This section is for purchases of rams and replacement females (ewes</a:t>
          </a:r>
          <a:r>
            <a:rPr lang="en-US" sz="1100" baseline="0">
              <a:solidFill>
                <a:schemeClr val="dk1"/>
              </a:solidFill>
              <a:effectLst/>
              <a:latin typeface="+mn-lt"/>
              <a:ea typeface="+mn-ea"/>
              <a:cs typeface="+mn-cs"/>
            </a:rPr>
            <a:t> lambs or ewes</a:t>
          </a:r>
          <a:r>
            <a:rPr lang="en-US" sz="1100">
              <a:solidFill>
                <a:schemeClr val="dk1"/>
              </a:solidFill>
              <a:effectLst/>
              <a:latin typeface="+mn-lt"/>
              <a:ea typeface="+mn-ea"/>
              <a:cs typeface="+mn-cs"/>
            </a:rPr>
            <a:t>).</a:t>
          </a:r>
          <a:endParaRPr lang="en-US" sz="1200">
            <a:effectLst/>
          </a:endParaRPr>
        </a:p>
        <a:p>
          <a:r>
            <a:rPr lang="en-US" sz="1100">
              <a:solidFill>
                <a:schemeClr val="dk1"/>
              </a:solidFill>
              <a:effectLst/>
              <a:latin typeface="+mn-lt"/>
              <a:ea typeface="+mn-ea"/>
              <a:cs typeface="+mn-cs"/>
            </a:rPr>
            <a:t>The user can claim the entire cost in the first year or pro-rate the cost over the expected productive life of the animal.</a:t>
          </a:r>
          <a:endParaRPr lang="en-US" sz="1200">
            <a:effectLst/>
          </a:endParaRPr>
        </a:p>
        <a:p>
          <a:r>
            <a:rPr lang="en-US" sz="1100">
              <a:solidFill>
                <a:schemeClr val="dk1"/>
              </a:solidFill>
              <a:effectLst/>
              <a:latin typeface="+mn-lt"/>
              <a:ea typeface="+mn-ea"/>
              <a:cs typeface="+mn-cs"/>
            </a:rPr>
            <a:t>If the operation purchases about the same amount of animals each year, it may be easiest to account for the entire cost in the purchase year.  If purchasing animals, a ramfor example, is done every 2 years, pro-rating the cost over the useful life of the ram will help take fluctuations in costs out of the results when comparing over the years.</a:t>
          </a:r>
          <a:endParaRPr lang="en-US" sz="1200">
            <a:effectLst/>
          </a:endParaRPr>
        </a:p>
        <a:p>
          <a:endParaRPr lang="en-US" sz="1100" b="1">
            <a:solidFill>
              <a:schemeClr val="dk1"/>
            </a:solidFill>
            <a:effectLst/>
            <a:latin typeface="+mn-lt"/>
            <a:ea typeface="+mn-ea"/>
            <a:cs typeface="+mn-cs"/>
          </a:endParaRPr>
        </a:p>
        <a:p>
          <a:r>
            <a:rPr lang="en-US" sz="1100" b="1">
              <a:solidFill>
                <a:schemeClr val="dk1"/>
              </a:solidFill>
              <a:effectLst/>
              <a:latin typeface="+mn-lt"/>
              <a:ea typeface="+mn-ea"/>
              <a:cs typeface="+mn-cs"/>
            </a:rPr>
            <a:t>Machinery, Equipment, Buildings, &amp; Facilities</a:t>
          </a:r>
          <a:endParaRPr lang="en-US" sz="1200">
            <a:effectLst/>
          </a:endParaRPr>
        </a:p>
        <a:p>
          <a:r>
            <a:rPr lang="en-US" sz="1100">
              <a:solidFill>
                <a:schemeClr val="dk1"/>
              </a:solidFill>
              <a:effectLst/>
              <a:latin typeface="+mn-lt"/>
              <a:ea typeface="+mn-ea"/>
              <a:cs typeface="+mn-cs"/>
            </a:rPr>
            <a:t>This section is used to estimate a value for fixed expenses used in the daily operations of the ewe</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enterprise.    This method is different than standard methods used by banks and the IRS for depreciation and/or return on assets.  This methodology estimates an annual cost of ownership/use looking forward needed to maintain the long term sustainability of the enterprise.</a:t>
          </a:r>
          <a:endParaRPr lang="en-US" sz="1200">
            <a:effectLst/>
          </a:endParaRPr>
        </a:p>
        <a:p>
          <a:r>
            <a:rPr lang="en-US" sz="1100">
              <a:solidFill>
                <a:schemeClr val="dk1"/>
              </a:solidFill>
              <a:effectLst/>
              <a:latin typeface="+mn-lt"/>
              <a:ea typeface="+mn-ea"/>
              <a:cs typeface="+mn-cs"/>
            </a:rPr>
            <a:t>Reasonable estimates of current value, years of useful life remaining, and salvage or trade in values are all needed to estimate depreciation for machinery and similar equipment.  Percent allocated to ewes allows users to account for other uses.  For example, a tractor used for hauling manure may also be used 60% of the time for a crop enterprise.  In that case, the ewe enterprise is responsible for paying only 40% of the cost. </a:t>
          </a:r>
          <a:endParaRPr lang="en-US" sz="1200">
            <a:effectLst/>
          </a:endParaRPr>
        </a:p>
        <a:p>
          <a:r>
            <a:rPr lang="en-US" sz="1100">
              <a:solidFill>
                <a:schemeClr val="dk1"/>
              </a:solidFill>
              <a:effectLst/>
              <a:latin typeface="+mn-lt"/>
              <a:ea typeface="+mn-ea"/>
              <a:cs typeface="+mn-cs"/>
            </a:rPr>
            <a:t>Do not include machinery costs for growing harvested feeds, those should be accounted for in market value of the homegrown feedstuffs.</a:t>
          </a:r>
          <a:endParaRPr lang="en-US" sz="1200">
            <a:effectLst/>
          </a:endParaRPr>
        </a:p>
        <a:p>
          <a:r>
            <a:rPr lang="en-US" sz="1100">
              <a:solidFill>
                <a:schemeClr val="dk1"/>
              </a:solidFill>
              <a:effectLst/>
              <a:latin typeface="+mn-lt"/>
              <a:ea typeface="+mn-ea"/>
              <a:cs typeface="+mn-cs"/>
            </a:rPr>
            <a:t>Include machinery costs for getting feed from storage to the sheep, and machinery costs for manure removal and spreading, and taking the bedding from storage to putting it in the pens for the sheep.</a:t>
          </a:r>
          <a:endParaRPr lang="en-US" sz="1200">
            <a:effectLst/>
          </a:endParaRPr>
        </a:p>
        <a:p>
          <a:r>
            <a:rPr lang="en-US" sz="1100">
              <a:solidFill>
                <a:schemeClr val="dk1"/>
              </a:solidFill>
              <a:effectLst/>
              <a:latin typeface="+mn-lt"/>
              <a:ea typeface="+mn-ea"/>
              <a:cs typeface="+mn-cs"/>
            </a:rPr>
            <a:t>Equipment for hauling the sheep</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(trucks and trailers), and working the sheep (chutes and panels), should be included.</a:t>
          </a:r>
          <a:endParaRPr lang="en-US" sz="1200">
            <a:effectLst/>
          </a:endParaRPr>
        </a:p>
        <a:p>
          <a:r>
            <a:rPr lang="en-US" sz="1100">
              <a:solidFill>
                <a:schemeClr val="dk1"/>
              </a:solidFill>
              <a:effectLst/>
              <a:latin typeface="+mn-lt"/>
              <a:ea typeface="+mn-ea"/>
              <a:cs typeface="+mn-cs"/>
            </a:rPr>
            <a:t>For buildings we are assuming an ending value of zero. A reasonable value for the buildings and years of useful life will be needed to estimate an annual cost. One option would be to input a building replacement cost (consider what the building is used for, not what it may have originally been built for when determining a replacement cost) and assign an estimated total years of useful life if it was new. It is up to the user to determine how they assign reasonable values and years of useful life for buildings.  If a building is used 7 months of the year for the sheep operation and stands empty the other five months, the entire annual cost should be charged to the sheep</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enterprise.</a:t>
          </a:r>
          <a:endParaRPr lang="en-US" sz="1200">
            <a:effectLst/>
          </a:endParaRPr>
        </a:p>
        <a:p>
          <a:r>
            <a:rPr lang="en-US" sz="1100">
              <a:solidFill>
                <a:schemeClr val="dk1"/>
              </a:solidFill>
              <a:effectLst/>
              <a:latin typeface="+mn-lt"/>
              <a:ea typeface="+mn-ea"/>
              <a:cs typeface="+mn-cs"/>
            </a:rPr>
            <a:t>Building costs to include are feed storage, livestock housing and feeding, handling facilities, and machine storage of equipment used for daily sheep chores.</a:t>
          </a:r>
          <a:endParaRPr lang="en-US" sz="1200">
            <a:effectLst/>
          </a:endParaRPr>
        </a:p>
        <a:p>
          <a:r>
            <a:rPr lang="en-US" sz="1100">
              <a:solidFill>
                <a:schemeClr val="dk1"/>
              </a:solidFill>
              <a:effectLst/>
              <a:latin typeface="+mn-lt"/>
              <a:ea typeface="+mn-ea"/>
              <a:cs typeface="+mn-cs"/>
            </a:rPr>
            <a:t>Using standard practice, machinery and equipment is depreciated out over 10 years and buildings over 20 years.</a:t>
          </a:r>
          <a:endParaRPr lang="en-US" sz="1200">
            <a:effectLst/>
          </a:endParaRPr>
        </a:p>
        <a:p>
          <a:r>
            <a:rPr lang="en-US" sz="1100">
              <a:solidFill>
                <a:schemeClr val="dk1"/>
              </a:solidFill>
              <a:effectLst/>
              <a:latin typeface="+mn-lt"/>
              <a:ea typeface="+mn-ea"/>
              <a:cs typeface="+mn-cs"/>
            </a:rPr>
            <a:t>The user can determine how long they want to them out but needs to use reasonable values in order to get accurate estimates on productions costs.</a:t>
          </a:r>
          <a:endParaRPr lang="en-US" sz="1200">
            <a:effectLst/>
          </a:endParaRPr>
        </a:p>
        <a:p>
          <a:endParaRPr lang="en-US" sz="1100" b="1">
            <a:solidFill>
              <a:schemeClr val="dk1"/>
            </a:solidFill>
            <a:effectLst/>
            <a:latin typeface="+mn-lt"/>
            <a:ea typeface="+mn-ea"/>
            <a:cs typeface="+mn-cs"/>
          </a:endParaRPr>
        </a:p>
        <a:p>
          <a:r>
            <a:rPr lang="en-US" sz="1100" b="1">
              <a:solidFill>
                <a:schemeClr val="dk1"/>
              </a:solidFill>
              <a:effectLst/>
              <a:latin typeface="+mn-lt"/>
              <a:ea typeface="+mn-ea"/>
              <a:cs typeface="+mn-cs"/>
            </a:rPr>
            <a:t>Useful link</a:t>
          </a:r>
          <a:endParaRPr lang="en-US" sz="1200">
            <a:effectLst/>
          </a:endParaRPr>
        </a:p>
        <a:p>
          <a:r>
            <a:rPr lang="en-US" sz="1100">
              <a:solidFill>
                <a:schemeClr val="dk1"/>
              </a:solidFill>
              <a:effectLst/>
              <a:latin typeface="+mn-lt"/>
              <a:ea typeface="+mn-ea"/>
              <a:cs typeface="+mn-cs"/>
            </a:rPr>
            <a:t>“Building Cost Estimates-Beef Related Facilities” </a:t>
          </a:r>
          <a:r>
            <a:rPr lang="en-US" sz="1100" u="sng">
              <a:solidFill>
                <a:schemeClr val="dk1"/>
              </a:solidFill>
              <a:effectLst/>
              <a:latin typeface="+mn-lt"/>
              <a:ea typeface="+mn-ea"/>
              <a:cs typeface="+mn-cs"/>
            </a:rPr>
            <a:t>https://fyi.uwex.edu/wbic/files/2016/03/building-costs-factsheet-beef-03-01-16.pdf</a:t>
          </a:r>
          <a:r>
            <a:rPr lang="en-US" sz="1100">
              <a:solidFill>
                <a:schemeClr val="dk1"/>
              </a:solidFill>
              <a:effectLst/>
              <a:latin typeface="+mn-lt"/>
              <a:ea typeface="+mn-ea"/>
              <a:cs typeface="+mn-cs"/>
            </a:rPr>
            <a:t> </a:t>
          </a:r>
          <a:endParaRPr lang="en-US" sz="1200">
            <a:effectLst/>
          </a:endParaRPr>
        </a:p>
        <a:p>
          <a:endParaRPr lang="en-US" sz="1100" b="1">
            <a:solidFill>
              <a:schemeClr val="dk1"/>
            </a:solidFill>
            <a:effectLst/>
            <a:latin typeface="+mn-lt"/>
            <a:ea typeface="+mn-ea"/>
            <a:cs typeface="+mn-cs"/>
          </a:endParaRPr>
        </a:p>
        <a:p>
          <a:r>
            <a:rPr lang="en-US" sz="1100" b="1">
              <a:solidFill>
                <a:schemeClr val="dk1"/>
              </a:solidFill>
              <a:effectLst/>
              <a:latin typeface="+mn-lt"/>
              <a:ea typeface="+mn-ea"/>
              <a:cs typeface="+mn-cs"/>
            </a:rPr>
            <a:t>Other Overhead Expenses</a:t>
          </a:r>
          <a:endParaRPr lang="en-US" sz="1200">
            <a:effectLst/>
          </a:endParaRPr>
        </a:p>
        <a:p>
          <a:r>
            <a:rPr lang="en-US" sz="1100">
              <a:solidFill>
                <a:schemeClr val="dk1"/>
              </a:solidFill>
              <a:effectLst/>
              <a:latin typeface="+mn-lt"/>
              <a:ea typeface="+mn-ea"/>
              <a:cs typeface="+mn-cs"/>
            </a:rPr>
            <a:t>Real Estate and Personal Property Taxes and Insurance are entered in this section.</a:t>
          </a:r>
          <a:endParaRPr lang="en-US" sz="1200">
            <a:effectLst/>
          </a:endParaRPr>
        </a:p>
        <a:p>
          <a:endParaRPr lang="en-US" sz="1100" b="1">
            <a:solidFill>
              <a:schemeClr val="dk1"/>
            </a:solidFill>
            <a:effectLst/>
            <a:latin typeface="+mn-lt"/>
            <a:ea typeface="+mn-ea"/>
            <a:cs typeface="+mn-cs"/>
          </a:endParaRPr>
        </a:p>
        <a:p>
          <a:r>
            <a:rPr lang="en-US" sz="1100" b="1">
              <a:solidFill>
                <a:schemeClr val="dk1"/>
              </a:solidFill>
              <a:effectLst/>
              <a:latin typeface="+mn-lt"/>
              <a:ea typeface="+mn-ea"/>
              <a:cs typeface="+mn-cs"/>
            </a:rPr>
            <a:t>Opportunity Cost on Owned Pasture</a:t>
          </a:r>
          <a:endParaRPr lang="en-US" sz="1200">
            <a:effectLst/>
          </a:endParaRPr>
        </a:p>
        <a:p>
          <a:r>
            <a:rPr lang="en-US" sz="1100">
              <a:solidFill>
                <a:schemeClr val="dk1"/>
              </a:solidFill>
              <a:effectLst/>
              <a:latin typeface="+mn-lt"/>
              <a:ea typeface="+mn-ea"/>
              <a:cs typeface="+mn-cs"/>
            </a:rPr>
            <a:t>A per acre value and appropriate interest rate are entered for all acres of owned pasture.</a:t>
          </a:r>
          <a:endParaRPr lang="en-US" sz="1200">
            <a:effectLst/>
          </a:endParaRPr>
        </a:p>
        <a:p>
          <a:endParaRPr lang="en-US" sz="1100" b="1">
            <a:solidFill>
              <a:schemeClr val="dk1"/>
            </a:solidFill>
            <a:effectLst/>
            <a:latin typeface="+mn-lt"/>
            <a:ea typeface="+mn-ea"/>
            <a:cs typeface="+mn-cs"/>
          </a:endParaRPr>
        </a:p>
        <a:p>
          <a:r>
            <a:rPr lang="en-US" sz="1100" b="1">
              <a:solidFill>
                <a:schemeClr val="dk1"/>
              </a:solidFill>
              <a:effectLst/>
              <a:latin typeface="+mn-lt"/>
              <a:ea typeface="+mn-ea"/>
              <a:cs typeface="+mn-cs"/>
            </a:rPr>
            <a:t>Returns and Break-evens</a:t>
          </a:r>
          <a:endParaRPr lang="en-US" sz="1200">
            <a:effectLst/>
          </a:endParaRPr>
        </a:p>
        <a:p>
          <a:r>
            <a:rPr lang="en-US" sz="1100" b="1">
              <a:solidFill>
                <a:schemeClr val="dk1"/>
              </a:solidFill>
              <a:effectLst/>
              <a:latin typeface="+mn-lt"/>
              <a:ea typeface="+mn-ea"/>
              <a:cs typeface="+mn-cs"/>
            </a:rPr>
            <a:t> </a:t>
          </a:r>
          <a:endParaRPr lang="en-US" sz="1200">
            <a:effectLst/>
          </a:endParaRPr>
        </a:p>
        <a:p>
          <a:r>
            <a:rPr lang="en-US" sz="1100" b="1">
              <a:solidFill>
                <a:schemeClr val="dk1"/>
              </a:solidFill>
              <a:effectLst/>
              <a:latin typeface="+mn-lt"/>
              <a:ea typeface="+mn-ea"/>
              <a:cs typeface="+mn-cs"/>
            </a:rPr>
            <a:t>Costs of production and breakeven can be calculated using two different methods in this spreadsheet: Enterprise Budget Method and Cash Flow Method.  </a:t>
          </a:r>
          <a:endParaRPr lang="en-US" sz="1200">
            <a:effectLst/>
          </a:endParaRPr>
        </a:p>
        <a:p>
          <a:r>
            <a:rPr lang="en-US" sz="1100" b="1">
              <a:solidFill>
                <a:schemeClr val="dk1"/>
              </a:solidFill>
              <a:effectLst/>
              <a:latin typeface="+mn-lt"/>
              <a:ea typeface="+mn-ea"/>
              <a:cs typeface="+mn-cs"/>
            </a:rPr>
            <a:t> </a:t>
          </a:r>
          <a:endParaRPr lang="en-US" sz="1200">
            <a:effectLst/>
          </a:endParaRPr>
        </a:p>
        <a:p>
          <a:r>
            <a:rPr lang="en-US" sz="1100">
              <a:solidFill>
                <a:schemeClr val="dk1"/>
              </a:solidFill>
              <a:effectLst/>
              <a:latin typeface="+mn-lt"/>
              <a:ea typeface="+mn-ea"/>
              <a:cs typeface="+mn-cs"/>
            </a:rPr>
            <a:t>Enterprise budget method includes the following expenses: depreciation, pro-rated purchased breeding stock expenses, cash expenses (except cash purchased overhead items), all opportunity cost. It does not include intermediate and long term debt principal payments.</a:t>
          </a:r>
          <a:endParaRPr lang="en-US" sz="1200">
            <a:effectLst/>
          </a:endParaRPr>
        </a:p>
        <a:p>
          <a:r>
            <a:rPr lang="en-US" sz="1100">
              <a:solidFill>
                <a:schemeClr val="dk1"/>
              </a:solidFill>
              <a:effectLst/>
              <a:latin typeface="+mn-lt"/>
              <a:ea typeface="+mn-ea"/>
              <a:cs typeface="+mn-cs"/>
            </a:rPr>
            <a:t> </a:t>
          </a:r>
          <a:endParaRPr lang="en-US" sz="1200">
            <a:effectLst/>
          </a:endParaRPr>
        </a:p>
        <a:p>
          <a:r>
            <a:rPr lang="en-US" sz="1100">
              <a:solidFill>
                <a:schemeClr val="dk1"/>
              </a:solidFill>
              <a:effectLst/>
              <a:latin typeface="+mn-lt"/>
              <a:ea typeface="+mn-ea"/>
              <a:cs typeface="+mn-cs"/>
            </a:rPr>
            <a:t>Cashflow budget method includes the following expenses: cash expenses (including breeding stock and capital purchases made with cash on hand in that production year), home grown feed costs, principal payments, It does NOT include depreciation, and opportunity costs on overhead.</a:t>
          </a:r>
          <a:endParaRPr lang="en-US" sz="1200">
            <a:effectLst/>
          </a:endParaRPr>
        </a:p>
        <a:p>
          <a:r>
            <a:rPr lang="en-US" sz="1100" b="1">
              <a:solidFill>
                <a:schemeClr val="dk1"/>
              </a:solidFill>
              <a:effectLst/>
              <a:latin typeface="+mn-lt"/>
              <a:ea typeface="+mn-ea"/>
              <a:cs typeface="+mn-cs"/>
            </a:rPr>
            <a:t> </a:t>
          </a:r>
          <a:endParaRPr lang="en-US" sz="1200">
            <a:effectLst/>
          </a:endParaRPr>
        </a:p>
        <a:p>
          <a:r>
            <a:rPr lang="en-US" sz="1100" b="1">
              <a:solidFill>
                <a:schemeClr val="dk1"/>
              </a:solidFill>
              <a:effectLst/>
              <a:latin typeface="+mn-lt"/>
              <a:ea typeface="+mn-ea"/>
              <a:cs typeface="+mn-cs"/>
            </a:rPr>
            <a:t>Intermediate and Long Term Debt Service, and Interest Payments on Operating Loans </a:t>
          </a:r>
          <a:endParaRPr lang="en-US" sz="1200">
            <a:effectLst/>
          </a:endParaRPr>
        </a:p>
        <a:p>
          <a:r>
            <a:rPr lang="en-US" sz="1100">
              <a:solidFill>
                <a:schemeClr val="dk1"/>
              </a:solidFill>
              <a:effectLst/>
              <a:latin typeface="+mn-lt"/>
              <a:ea typeface="+mn-ea"/>
              <a:cs typeface="+mn-cs"/>
            </a:rPr>
            <a:t>These three cash expenses are used for the Cash Flow Method profit loss and breakeven calculations</a:t>
          </a:r>
          <a:endParaRPr lang="en-US" sz="1200">
            <a:effectLst/>
          </a:endParaRPr>
        </a:p>
        <a:p>
          <a:r>
            <a:rPr lang="en-US" sz="1100">
              <a:solidFill>
                <a:schemeClr val="dk1"/>
              </a:solidFill>
              <a:effectLst/>
              <a:latin typeface="+mn-lt"/>
              <a:ea typeface="+mn-ea"/>
              <a:cs typeface="+mn-cs"/>
            </a:rPr>
            <a:t>Intermediate and long term debt principal and interest payments, and operating loan interest payments should be entered along with the percent allocation expected to be paid by the cow calf enterprise, OR, only the portion of these payments expected to be paid for by the cow calf enterprise can be entered and use 100% in the percent allocated to ewe</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column.</a:t>
          </a:r>
          <a:endParaRPr lang="en-US" sz="1200">
            <a:effectLst/>
          </a:endParaRPr>
        </a:p>
        <a:p>
          <a:endParaRPr lang="en-US" sz="1100" b="1">
            <a:solidFill>
              <a:schemeClr val="dk1"/>
            </a:solidFill>
            <a:effectLst/>
            <a:latin typeface="+mn-lt"/>
            <a:ea typeface="+mn-ea"/>
            <a:cs typeface="+mn-cs"/>
          </a:endParaRPr>
        </a:p>
        <a:p>
          <a:r>
            <a:rPr lang="en-US" sz="1100" b="1">
              <a:solidFill>
                <a:schemeClr val="dk1"/>
              </a:solidFill>
              <a:effectLst/>
              <a:latin typeface="+mn-lt"/>
              <a:ea typeface="+mn-ea"/>
              <a:cs typeface="+mn-cs"/>
            </a:rPr>
            <a:t>Sensitivity Analysis</a:t>
          </a:r>
          <a:endParaRPr lang="en-US" sz="1200">
            <a:effectLst/>
          </a:endParaRPr>
        </a:p>
        <a:p>
          <a:r>
            <a:rPr lang="en-US" sz="1100" b="1">
              <a:solidFill>
                <a:schemeClr val="dk1"/>
              </a:solidFill>
              <a:effectLst/>
              <a:latin typeface="+mn-lt"/>
              <a:ea typeface="+mn-ea"/>
              <a:cs typeface="+mn-cs"/>
            </a:rPr>
            <a:t> </a:t>
          </a:r>
          <a:r>
            <a:rPr lang="en-US" sz="1100">
              <a:solidFill>
                <a:schemeClr val="dk1"/>
              </a:solidFill>
              <a:effectLst/>
              <a:latin typeface="+mn-lt"/>
              <a:ea typeface="+mn-ea"/>
              <a:cs typeface="+mn-cs"/>
            </a:rPr>
            <a:t>Sensitivity analysis tables are provided for both enterprise budget method and cash flow method and they show breakeven changes on a per cwt. of feeder lamb sale price from user defined percentage changes in calculated breakeven sale price per cwt and feed cost per cwt.  Users can enter in any percent change they want to consider in the percent difference columns and rows in the table.  When entering the value it is necessary to enter – sign for a negative number.  Those cells are set as percentage, so they will take care of converting whole numbers to actual percent in the calculations. </a:t>
          </a:r>
          <a:endParaRPr lang="en-US" sz="1200">
            <a:effectLst/>
          </a:endParaRPr>
        </a:p>
        <a:p>
          <a:pPr marL="171450" lvl="0" indent="-171450">
            <a:buFont typeface="Arial" panose="020B0604020202020204" pitchFamily="34" charset="0"/>
            <a:buChar char="•"/>
          </a:pPr>
          <a:endParaRPr lang="en-US" sz="1200">
            <a:solidFill>
              <a:schemeClr val="dk1"/>
            </a:solidFill>
            <a:effectLst/>
            <a:latin typeface="+mn-lt"/>
            <a:ea typeface="+mn-ea"/>
            <a:cs typeface="+mn-cs"/>
          </a:endParaRPr>
        </a:p>
        <a:p>
          <a:pPr marL="171450" lvl="0" indent="-171450">
            <a:buFont typeface="Arial" panose="020B0604020202020204" pitchFamily="34" charset="0"/>
            <a:buChar char="•"/>
          </a:pPr>
          <a:endParaRPr lang="en-US" sz="1200">
            <a:solidFill>
              <a:schemeClr val="dk1"/>
            </a:solidFill>
            <a:effectLst/>
            <a:latin typeface="+mn-lt"/>
            <a:ea typeface="+mn-ea"/>
            <a:cs typeface="+mn-cs"/>
          </a:endParaRPr>
        </a:p>
        <a:p>
          <a:pPr marL="171450" lvl="0" indent="-171450">
            <a:buFont typeface="Arial" panose="020B0604020202020204" pitchFamily="34" charset="0"/>
            <a:buChar char="•"/>
          </a:pPr>
          <a:endParaRPr lang="en-US" sz="1200">
            <a:solidFill>
              <a:schemeClr val="dk1"/>
            </a:solidFill>
            <a:effectLst/>
            <a:latin typeface="+mn-lt"/>
            <a:ea typeface="+mn-ea"/>
            <a:cs typeface="+mn-cs"/>
          </a:endParaRPr>
        </a:p>
        <a:p>
          <a:pPr marL="171450" lvl="0" indent="-171450">
            <a:buFont typeface="Arial" panose="020B0604020202020204" pitchFamily="34" charset="0"/>
            <a:buChar char="•"/>
          </a:pPr>
          <a:endParaRPr lang="en-US" sz="1200">
            <a:solidFill>
              <a:schemeClr val="dk1"/>
            </a:solidFill>
            <a:effectLst/>
            <a:latin typeface="+mn-lt"/>
            <a:ea typeface="+mn-ea"/>
            <a:cs typeface="+mn-cs"/>
          </a:endParaRPr>
        </a:p>
        <a:p>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xdr:col>
      <xdr:colOff>714375</xdr:colOff>
      <xdr:row>3</xdr:row>
      <xdr:rowOff>140920</xdr:rowOff>
    </xdr:to>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1"/>
          <a:ext cx="2705100" cy="712419"/>
        </a:xfrm>
        <a:prstGeom prst="rect">
          <a:avLst/>
        </a:prstGeom>
      </xdr:spPr>
    </xdr:pic>
    <xdr:clientData/>
  </xdr:twoCellAnchor>
  <xdr:oneCellAnchor>
    <xdr:from>
      <xdr:col>1</xdr:col>
      <xdr:colOff>19050</xdr:colOff>
      <xdr:row>27</xdr:row>
      <xdr:rowOff>28575</xdr:rowOff>
    </xdr:from>
    <xdr:ext cx="8898270" cy="436786"/>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2011363" y="5267325"/>
          <a:ext cx="8898270" cy="436786"/>
        </a:xfrm>
        <a:prstGeom prst="rect">
          <a:avLst/>
        </a:prstGeom>
        <a:solidFill>
          <a:srgbClr val="CCFF99"/>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a:t>Value</a:t>
          </a:r>
          <a:r>
            <a:rPr lang="en-US" sz="1100" baseline="0"/>
            <a:t> per unit of for home grown feed can either be a market value that it could be sold for, or a calculated cost of production for your farm.</a:t>
          </a:r>
        </a:p>
        <a:p>
          <a:r>
            <a:rPr lang="en-US" sz="1100" baseline="0"/>
            <a:t> It would be best to use the same process for all feeds.  The market value method might over-value homegrown feed, depending on your cost to grow it.</a:t>
          </a:r>
          <a:endParaRPr lang="en-US" sz="1100"/>
        </a:p>
      </xdr:txBody>
    </xdr:sp>
    <xdr:clientData/>
  </xdr:oneCellAnchor>
  <xdr:twoCellAnchor>
    <xdr:from>
      <xdr:col>1</xdr:col>
      <xdr:colOff>134937</xdr:colOff>
      <xdr:row>156</xdr:row>
      <xdr:rowOff>95250</xdr:rowOff>
    </xdr:from>
    <xdr:to>
      <xdr:col>8</xdr:col>
      <xdr:colOff>1333500</xdr:colOff>
      <xdr:row>159</xdr:row>
      <xdr:rowOff>166687</xdr:rowOff>
    </xdr:to>
    <xdr:sp macro="" textlink="">
      <xdr:nvSpPr>
        <xdr:cNvPr id="3" name="TextBox 2">
          <a:extLst>
            <a:ext uri="{FF2B5EF4-FFF2-40B4-BE49-F238E27FC236}">
              <a16:creationId xmlns:a16="http://schemas.microsoft.com/office/drawing/2014/main" id="{65254B3E-127B-4D06-87CA-D2096BF0471D}"/>
            </a:ext>
          </a:extLst>
        </xdr:cNvPr>
        <xdr:cNvSpPr txBox="1"/>
      </xdr:nvSpPr>
      <xdr:spPr>
        <a:xfrm>
          <a:off x="2127250" y="36996688"/>
          <a:ext cx="9342438" cy="785812"/>
        </a:xfrm>
        <a:prstGeom prst="rect">
          <a:avLst/>
        </a:prstGeom>
        <a:solidFill>
          <a:srgbClr val="CCFF99"/>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a:t>The method used for calculating overhead expenses for Machinery</a:t>
          </a:r>
          <a:r>
            <a:rPr lang="en-US" sz="1200" baseline="0"/>
            <a:t> and Buildings in this spreadsheet tool is different than standard methods used by banks and IRS for depreciation.  This methodology estimates an immediate and forward looking annual cost of ownership of these items, needed for long term sustainability of the enterprise.  This method assigns an annual cost by spreading a reasonable value for the asset out over it's useful service life.</a:t>
          </a:r>
          <a:endParaRPr lang="en-US" sz="1200"/>
        </a:p>
      </xdr:txBody>
    </xdr:sp>
    <xdr:clientData/>
  </xdr:twoCellAnchor>
  <xdr:oneCellAnchor>
    <xdr:from>
      <xdr:col>0</xdr:col>
      <xdr:colOff>381000</xdr:colOff>
      <xdr:row>298</xdr:row>
      <xdr:rowOff>10584</xdr:rowOff>
    </xdr:from>
    <xdr:ext cx="12581586" cy="280205"/>
    <xdr:sp macro="" textlink="">
      <xdr:nvSpPr>
        <xdr:cNvPr id="4" name="TextBox 3">
          <a:extLst>
            <a:ext uri="{FF2B5EF4-FFF2-40B4-BE49-F238E27FC236}">
              <a16:creationId xmlns:a16="http://schemas.microsoft.com/office/drawing/2014/main" id="{FCBE063C-AE17-4549-B726-4FCFACB30B33}"/>
            </a:ext>
          </a:extLst>
        </xdr:cNvPr>
        <xdr:cNvSpPr txBox="1"/>
      </xdr:nvSpPr>
      <xdr:spPr>
        <a:xfrm>
          <a:off x="381000" y="72442917"/>
          <a:ext cx="12581586" cy="280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200"/>
            <a:t>“An EEO/AA employer, University of Wisconsin Extension provides equal opportunities in employment and programming, including Title VI,  Title IX and American with Disabilities (ADA) requirements.”</a:t>
          </a:r>
        </a:p>
      </xdr:txBody>
    </xdr:sp>
    <xdr:clientData/>
  </xdr:one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148004</xdr:colOff>
      <xdr:row>3</xdr:row>
      <xdr:rowOff>109659</xdr:rowOff>
    </xdr:to>
    <xdr:pic>
      <xdr:nvPicPr>
        <xdr:cNvPr id="2" name="Picture 1">
          <a:extLst>
            <a:ext uri="{FF2B5EF4-FFF2-40B4-BE49-F238E27FC236}">
              <a16:creationId xmlns:a16="http://schemas.microsoft.com/office/drawing/2014/main" id="{3148FD18-BE02-4E09-BC5B-8DE5EF1C525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586404" cy="681159"/>
        </a:xfrm>
        <a:prstGeom prst="rect">
          <a:avLst/>
        </a:prstGeom>
      </xdr:spPr>
    </xdr:pic>
    <xdr:clientData/>
  </xdr:twoCellAnchor>
  <xdr:twoCellAnchor>
    <xdr:from>
      <xdr:col>0</xdr:col>
      <xdr:colOff>76201</xdr:colOff>
      <xdr:row>5</xdr:row>
      <xdr:rowOff>114299</xdr:rowOff>
    </xdr:from>
    <xdr:to>
      <xdr:col>10</xdr:col>
      <xdr:colOff>561975</xdr:colOff>
      <xdr:row>102</xdr:row>
      <xdr:rowOff>47625</xdr:rowOff>
    </xdr:to>
    <xdr:sp macro="" textlink="">
      <xdr:nvSpPr>
        <xdr:cNvPr id="3" name="TextBox 2">
          <a:extLst>
            <a:ext uri="{FF2B5EF4-FFF2-40B4-BE49-F238E27FC236}">
              <a16:creationId xmlns:a16="http://schemas.microsoft.com/office/drawing/2014/main" id="{D3D3ED59-6DEE-428A-A195-94CDF764B668}"/>
            </a:ext>
          </a:extLst>
        </xdr:cNvPr>
        <xdr:cNvSpPr txBox="1"/>
      </xdr:nvSpPr>
      <xdr:spPr>
        <a:xfrm>
          <a:off x="76201" y="1066799"/>
          <a:ext cx="6581774" cy="1841182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a:lnSpc>
              <a:spcPct val="107000"/>
            </a:lnSpc>
            <a:spcBef>
              <a:spcPts val="0"/>
            </a:spcBef>
            <a:spcAft>
              <a:spcPts val="800"/>
            </a:spcAft>
          </a:pPr>
          <a:r>
            <a:rPr lang="en-US" sz="1100" b="1">
              <a:effectLst/>
              <a:latin typeface="Calibri" panose="020F0502020204030204" pitchFamily="34" charset="0"/>
              <a:ea typeface="Calibri" panose="020F0502020204030204" pitchFamily="34" charset="0"/>
              <a:cs typeface="Times New Roman" panose="02020603050405020304" pitchFamily="18" charset="0"/>
            </a:rPr>
            <a:t>Directions for the Drylot Lamb Finishing Budget Spreadsheet</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This Enterprise budget spreadsheet is intended to be a practical approach for producers to evaluate profitability of their drylot lamb finishing enterprise.  It may also be used to assist with estimating projections for future years or changes to the enterprise.</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The cells that are </a:t>
          </a:r>
          <a:r>
            <a:rPr lang="en-US" sz="1100" i="1" u="sng">
              <a:effectLst/>
              <a:latin typeface="Calibri" panose="020F0502020204030204" pitchFamily="34" charset="0"/>
              <a:ea typeface="Calibri" panose="020F0502020204030204" pitchFamily="34" charset="0"/>
              <a:cs typeface="Times New Roman" panose="02020603050405020304" pitchFamily="18" charset="0"/>
            </a:rPr>
            <a:t>light blue in color can be edited by the user</a:t>
          </a:r>
          <a:r>
            <a:rPr lang="en-US" sz="1100">
              <a:effectLst/>
              <a:latin typeface="Calibri" panose="020F0502020204030204" pitchFamily="34" charset="0"/>
              <a:ea typeface="Calibri" panose="020F0502020204030204" pitchFamily="34" charset="0"/>
              <a:cs typeface="Times New Roman" panose="02020603050405020304" pitchFamily="18" charset="0"/>
            </a:rPr>
            <a:t>.  Cells that are yellow are calculated from user inputs and cannot be edited by the user.  Green boxes on the spreadsheet contain helpful hints and provide additional information. The enterprise budget calculates revenue and expenses on a per head and per-group basis.  </a:t>
          </a:r>
        </a:p>
        <a:p>
          <a:pPr marL="0" marR="0">
            <a:lnSpc>
              <a:spcPct val="107000"/>
            </a:lnSpc>
            <a:spcBef>
              <a:spcPts val="0"/>
            </a:spcBef>
            <a:spcAft>
              <a:spcPts val="800"/>
            </a:spcAft>
          </a:pPr>
          <a:r>
            <a:rPr lang="en-US" sz="1100" b="1">
              <a:effectLst/>
              <a:latin typeface="Calibri" panose="020F0502020204030204" pitchFamily="34" charset="0"/>
              <a:ea typeface="Calibri" panose="020F0502020204030204" pitchFamily="34" charset="0"/>
              <a:cs typeface="Times New Roman" panose="02020603050405020304" pitchFamily="18" charset="0"/>
            </a:rPr>
            <a:t>The accuracy of the information generated is only as good as the information entered to calculate it.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If you encounter any problems with the spreadsheet, contact Carolyn Ihde at carolyn.ihde@wisc.edu, Amanda Cauffman at amanda.cauffman@wisc.edu, Bill Halfman at </a:t>
          </a:r>
          <a:r>
            <a:rPr lang="en-US" sz="1100" u="sng">
              <a:solidFill>
                <a:srgbClr val="0563C1"/>
              </a:solidFill>
              <a:effectLst/>
              <a:latin typeface="Calibri" panose="020F0502020204030204" pitchFamily="34" charset="0"/>
              <a:ea typeface="Calibri" panose="020F0502020204030204" pitchFamily="34" charset="0"/>
              <a:cs typeface="Times New Roman" panose="02020603050405020304" pitchFamily="18" charset="0"/>
              <a:hlinkClick xmlns:r="http://schemas.openxmlformats.org/officeDocument/2006/relationships" r:id="">
                <a:extLst>
                  <a:ext uri="{A12FA001-AC4F-418D-AE19-62706E023703}">
                    <ahyp:hlinkClr xmlns:ahyp="http://schemas.microsoft.com/office/drawing/2018/hyperlinkcolor" val="tx"/>
                  </a:ext>
                </a:extLst>
              </a:hlinkClick>
            </a:rPr>
            <a:t>william.halfman@wisc.edu</a:t>
          </a:r>
          <a:r>
            <a:rPr lang="en-US" sz="1100">
              <a:effectLst/>
              <a:latin typeface="Calibri" panose="020F0502020204030204" pitchFamily="34" charset="0"/>
              <a:ea typeface="Calibri" panose="020F0502020204030204" pitchFamily="34" charset="0"/>
              <a:cs typeface="Times New Roman" panose="02020603050405020304" pitchFamily="18" charset="0"/>
            </a:rPr>
            <a:t>, or Dr. Brenda Boetel at </a:t>
          </a:r>
          <a:r>
            <a:rPr lang="en-US" sz="1100" u="sng">
              <a:effectLst/>
              <a:latin typeface="Calibri" panose="020F0502020204030204" pitchFamily="34" charset="0"/>
              <a:ea typeface="Calibri" panose="020F0502020204030204" pitchFamily="34" charset="0"/>
              <a:cs typeface="Times New Roman" panose="02020603050405020304" pitchFamily="18" charset="0"/>
            </a:rPr>
            <a:t>brenda.boetel@uwrf.edu</a:t>
          </a:r>
          <a:r>
            <a:rPr lang="en-US" sz="1100">
              <a:effectLst/>
              <a:latin typeface="Calibri" panose="020F0502020204030204" pitchFamily="34" charset="0"/>
              <a:ea typeface="Calibri" panose="020F0502020204030204" pitchFamily="34" charset="0"/>
              <a:cs typeface="Times New Roman" panose="02020603050405020304" pitchFamily="18" charset="0"/>
            </a:rPr>
            <a:t>. The following directions will cover each spreadsheet section and provide some guidelines and explanations for entering data.</a:t>
          </a:r>
        </a:p>
        <a:p>
          <a:pPr marL="0" marR="0">
            <a:lnSpc>
              <a:spcPct val="107000"/>
            </a:lnSpc>
            <a:spcBef>
              <a:spcPts val="0"/>
            </a:spcBef>
            <a:spcAft>
              <a:spcPts val="800"/>
            </a:spcAft>
          </a:pPr>
          <a:r>
            <a:rPr lang="en-US" sz="1100" b="1">
              <a:effectLst/>
              <a:latin typeface="Calibri" panose="020F0502020204030204" pitchFamily="34" charset="0"/>
              <a:ea typeface="Calibri" panose="020F0502020204030204" pitchFamily="34" charset="0"/>
              <a:cs typeface="Times New Roman" panose="02020603050405020304" pitchFamily="18" charset="0"/>
            </a:rPr>
            <a:t>Revenue</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In the revenue section, the user enters the projected/estimated sale date, live weight, sale price of the lambs, and the number of head in the group. There is a line to enter pounds of wool per head and a price for the wool if the lambs are sheared prior to sale. An “Other” income line is also included for LDP payments or other potential revenue.</a:t>
          </a:r>
        </a:p>
        <a:p>
          <a:pPr marL="0" marR="0">
            <a:lnSpc>
              <a:spcPct val="107000"/>
            </a:lnSpc>
            <a:spcBef>
              <a:spcPts val="0"/>
            </a:spcBef>
            <a:spcAft>
              <a:spcPts val="800"/>
            </a:spcAft>
          </a:pPr>
          <a:r>
            <a:rPr lang="en-US" sz="1100" b="1">
              <a:effectLst/>
              <a:latin typeface="Calibri" panose="020F0502020204030204" pitchFamily="34" charset="0"/>
              <a:ea typeface="Calibri" panose="020F0502020204030204" pitchFamily="34" charset="0"/>
              <a:cs typeface="Times New Roman" panose="02020603050405020304" pitchFamily="18" charset="0"/>
            </a:rPr>
            <a:t>Expenses</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i="1">
              <a:effectLst/>
              <a:latin typeface="Calibri" panose="020F0502020204030204" pitchFamily="34" charset="0"/>
              <a:ea typeface="Calibri" panose="020F0502020204030204" pitchFamily="34" charset="0"/>
              <a:cs typeface="Times New Roman" panose="02020603050405020304" pitchFamily="18" charset="0"/>
            </a:rPr>
            <a:t>Feeder lamb cost/value</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In the first section of the expenses, the user enters the projected/estimated start date, starting weight, and cost of the feeder lambs.  If the lambs are home raised, an opportunity cost of what they could be sold for as feeders should be used.  The user will need to enter in a total number of lambs in the group.</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From the information collected at this time, an estimate of total pounds gained, days on feed, and average daily gain are calculated.  The feed to gain value is calculated after the feed information is entered on the </a:t>
          </a:r>
          <a:r>
            <a:rPr lang="en-US" sz="1100" b="1">
              <a:effectLst/>
              <a:latin typeface="Calibri" panose="020F0502020204030204" pitchFamily="34" charset="0"/>
              <a:ea typeface="Calibri" panose="020F0502020204030204" pitchFamily="34" charset="0"/>
              <a:cs typeface="Times New Roman" panose="02020603050405020304" pitchFamily="18" charset="0"/>
            </a:rPr>
            <a:t>“Drylot Lamb Finishing Feed Cost Sheet”.</a:t>
          </a:r>
          <a:r>
            <a:rPr lang="en-US" sz="1100">
              <a:effectLst/>
              <a:latin typeface="Calibri" panose="020F0502020204030204" pitchFamily="34" charset="0"/>
              <a:ea typeface="Calibri" panose="020F0502020204030204" pitchFamily="34" charset="0"/>
              <a:cs typeface="Times New Roman" panose="02020603050405020304" pitchFamily="18" charset="0"/>
            </a:rPr>
            <a:t>  Look for the tab with this title at the bottom of the spreadsheet file.</a:t>
          </a:r>
        </a:p>
        <a:p>
          <a:pPr marL="0" marR="0">
            <a:lnSpc>
              <a:spcPct val="107000"/>
            </a:lnSpc>
            <a:spcBef>
              <a:spcPts val="0"/>
            </a:spcBef>
            <a:spcAft>
              <a:spcPts val="800"/>
            </a:spcAft>
          </a:pPr>
          <a:r>
            <a:rPr lang="en-US" sz="1100" i="1">
              <a:effectLst/>
              <a:latin typeface="Calibri" panose="020F0502020204030204" pitchFamily="34" charset="0"/>
              <a:ea typeface="Calibri" panose="020F0502020204030204" pitchFamily="34" charset="0"/>
              <a:cs typeface="Times New Roman" panose="02020603050405020304" pitchFamily="18" charset="0"/>
            </a:rPr>
            <a:t>Feed Costs</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Feed costs are entered in the </a:t>
          </a:r>
          <a:r>
            <a:rPr lang="en-US" sz="1100" b="1">
              <a:effectLst/>
              <a:latin typeface="Calibri" panose="020F0502020204030204" pitchFamily="34" charset="0"/>
              <a:ea typeface="Calibri" panose="020F0502020204030204" pitchFamily="34" charset="0"/>
              <a:cs typeface="Times New Roman" panose="02020603050405020304" pitchFamily="18" charset="0"/>
            </a:rPr>
            <a:t>“Drylot Lamb Finishing Feed Cost Sheet” </a:t>
          </a:r>
          <a:r>
            <a:rPr lang="en-US" sz="1100">
              <a:effectLst/>
              <a:latin typeface="Calibri" panose="020F0502020204030204" pitchFamily="34" charset="0"/>
              <a:ea typeface="Calibri" panose="020F0502020204030204" pitchFamily="34" charset="0"/>
              <a:cs typeface="Times New Roman" panose="02020603050405020304" pitchFamily="18" charset="0"/>
            </a:rPr>
            <a:t>as stated above.  The user enters the average daily amounts of feed delivered to the sheep over the duration of the feeding period.  If available, previous year’s feed amounts of each feed typically used to finish their lambs can be used to fine-tune the daily feed usage by the lambs.  </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It is important to account for feed on a “feed delivered” basis to account for feeding loss due to feeder style and picking/sorting of feed by lambs. Remember, if the feed is delivered, it is a cost incurred by the group. Users may also want to consider storage loss. A storage loss factor can be added to the amount of feed delivered to the lambs.  </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There are additional calculators at the bottom of the feed entry table to assist with converting the price per bag and price per bushel to a price per ton basis for the table.</a:t>
          </a:r>
        </a:p>
        <a:p>
          <a:pPr marL="0" marR="0">
            <a:lnSpc>
              <a:spcPct val="107000"/>
            </a:lnSpc>
            <a:spcBef>
              <a:spcPts val="0"/>
            </a:spcBef>
            <a:spcAft>
              <a:spcPts val="800"/>
            </a:spcAft>
          </a:pPr>
          <a:r>
            <a:rPr lang="en-US" sz="1100" b="1">
              <a:effectLst/>
              <a:latin typeface="Calibri" panose="020F0502020204030204" pitchFamily="34" charset="0"/>
              <a:ea typeface="Calibri" panose="020F0502020204030204" pitchFamily="34" charset="0"/>
              <a:cs typeface="Times New Roman" panose="02020603050405020304" pitchFamily="18" charset="0"/>
            </a:rPr>
            <a:t>Please note:  </a:t>
          </a:r>
          <a:r>
            <a:rPr lang="en-US" sz="1100">
              <a:effectLst/>
              <a:latin typeface="Calibri" panose="020F0502020204030204" pitchFamily="34" charset="0"/>
              <a:ea typeface="Calibri" panose="020F0502020204030204" pitchFamily="34" charset="0"/>
              <a:cs typeface="Times New Roman" panose="02020603050405020304" pitchFamily="18" charset="0"/>
            </a:rPr>
            <a:t>The feed cost summary information is automatically entered into the lamb finishing budget spreadsheet.</a:t>
          </a:r>
        </a:p>
        <a:p>
          <a:pPr marL="0" marR="0">
            <a:lnSpc>
              <a:spcPct val="107000"/>
            </a:lnSpc>
            <a:spcBef>
              <a:spcPts val="0"/>
            </a:spcBef>
            <a:spcAft>
              <a:spcPts val="800"/>
            </a:spcAft>
          </a:pPr>
          <a:r>
            <a:rPr lang="en-US" sz="1100" i="1">
              <a:effectLst/>
              <a:latin typeface="Calibri" panose="020F0502020204030204" pitchFamily="34" charset="0"/>
              <a:ea typeface="Calibri" panose="020F0502020204030204" pitchFamily="34" charset="0"/>
              <a:cs typeface="Times New Roman" panose="02020603050405020304" pitchFamily="18" charset="0"/>
            </a:rPr>
            <a:t>Veterinary, Pharmaceutical, and Health Costs</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In this section of expenses, the user enters the costs or expected costs for the whole group, and the spreadsheet will calculate cost on a per head basis.  </a:t>
          </a:r>
        </a:p>
        <a:p>
          <a:pPr marL="0" marR="0">
            <a:lnSpc>
              <a:spcPct val="107000"/>
            </a:lnSpc>
            <a:spcBef>
              <a:spcPts val="0"/>
            </a:spcBef>
            <a:spcAft>
              <a:spcPts val="800"/>
            </a:spcAft>
          </a:pPr>
          <a:r>
            <a:rPr lang="en-US" sz="1100" i="1">
              <a:effectLst/>
              <a:latin typeface="Calibri" panose="020F0502020204030204" pitchFamily="34" charset="0"/>
              <a:ea typeface="Calibri" panose="020F0502020204030204" pitchFamily="34" charset="0"/>
              <a:cs typeface="Times New Roman" panose="02020603050405020304" pitchFamily="18" charset="0"/>
            </a:rPr>
            <a:t>Other Expenses</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The “Other Expenses” section contains several expenses common to a lamb finishing enterprise.  Most of the per head costs are calculated when the user enters in the cost for the entire group.  </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To determine the death loss expense, the user enters the group's expected percent death loss.  Interest expense on both the feeder lambs and feed costs are calculated in this section.  It is assumed that 100% of these costs are borrowed, and either an operating loan interest rate can be used, or if the user is self-funding, then an opportunity cost interest rate they could earn if that money were in savings can be used.</a:t>
          </a:r>
        </a:p>
        <a:p>
          <a:pPr marL="0" marR="0">
            <a:lnSpc>
              <a:spcPct val="107000"/>
            </a:lnSpc>
            <a:spcBef>
              <a:spcPts val="0"/>
            </a:spcBef>
            <a:spcAft>
              <a:spcPts val="800"/>
            </a:spcAft>
          </a:pPr>
          <a:r>
            <a:rPr lang="en-US" sz="1100" i="1">
              <a:effectLst/>
              <a:latin typeface="Calibri" panose="020F0502020204030204" pitchFamily="34" charset="0"/>
              <a:ea typeface="Calibri" panose="020F0502020204030204" pitchFamily="34" charset="0"/>
              <a:cs typeface="Times New Roman" panose="02020603050405020304" pitchFamily="18" charset="0"/>
            </a:rPr>
            <a:t>Yardage</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UW Extension has a separate yardage spreadsheet available that will work for a lamb feeding enterprise.  It is available at this webpage: </a:t>
          </a:r>
          <a:r>
            <a:rPr lang="en-US" sz="1100" u="sng">
              <a:solidFill>
                <a:srgbClr val="0563C1"/>
              </a:solidFill>
              <a:effectLst/>
              <a:latin typeface="Calibri" panose="020F0502020204030204" pitchFamily="34" charset="0"/>
              <a:ea typeface="Calibri" panose="020F0502020204030204" pitchFamily="34" charset="0"/>
              <a:cs typeface="Times New Roman" panose="02020603050405020304" pitchFamily="18" charset="0"/>
              <a:hlinkClick xmlns:r="http://schemas.openxmlformats.org/officeDocument/2006/relationships" r:id="">
                <a:extLst>
                  <a:ext uri="{A12FA001-AC4F-418D-AE19-62706E023703}">
                    <ahyp:hlinkClr xmlns:ahyp="http://schemas.microsoft.com/office/drawing/2018/hyperlinkcolor" val="tx"/>
                  </a:ext>
                </a:extLst>
              </a:hlinkClick>
            </a:rPr>
            <a:t>https://livestock.extension.wisc.edu/article-topic/decision-tools-and-software/</a:t>
          </a:r>
          <a:r>
            <a:rPr lang="en-US" sz="1100">
              <a:effectLst/>
              <a:latin typeface="Calibri" panose="020F0502020204030204" pitchFamily="34" charset="0"/>
              <a:ea typeface="Calibri" panose="020F0502020204030204" pitchFamily="34" charset="0"/>
              <a:cs typeface="Times New Roman" panose="02020603050405020304" pitchFamily="18" charset="0"/>
            </a:rPr>
            <a:t> .  There is no standard definition of the non-fixed costs that must be included in yardage.</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In this spreadsheet tool, the yardage should include the fixed costs the sheep are expected to pay of taxes, insurance, depreciation, and interest on long-term assets (buildings, machinery, and equipment) and non-fixed costs of fuel, utilities, office, repairs, and miscellaneous expenses. This spreadsheet has bedding, transportation and veterinary expenses on separate lines. The summary section contains a return to labor and management line; therefore, the user may include paid labor and management in yardage, then the return to labor and management line is the return to the owner's unpaid labor and management.  </a:t>
          </a:r>
        </a:p>
        <a:p>
          <a:pPr marL="0" marR="0">
            <a:lnSpc>
              <a:spcPct val="107000"/>
            </a:lnSpc>
            <a:spcBef>
              <a:spcPts val="0"/>
            </a:spcBef>
            <a:spcAft>
              <a:spcPts val="800"/>
            </a:spcAft>
          </a:pPr>
          <a:r>
            <a:rPr lang="en-US" sz="1100" i="1">
              <a:effectLst/>
              <a:latin typeface="Calibri" panose="020F0502020204030204" pitchFamily="34" charset="0"/>
              <a:ea typeface="Calibri" panose="020F0502020204030204" pitchFamily="34" charset="0"/>
              <a:cs typeface="Times New Roman" panose="02020603050405020304" pitchFamily="18" charset="0"/>
            </a:rPr>
            <a:t>Cost per Pound of Gain</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Cost per pound of gain is calculated from user inputs to determine the costs per pound the animal gains during the feeding period.  Cost per pound of gain is for the pounds that the animal gains during the feeding/finishing time.  It does not include the feeder price or the cost of gain for weight gained before the beginning date.</a:t>
          </a:r>
        </a:p>
        <a:p>
          <a:pPr marL="0" marR="0">
            <a:lnSpc>
              <a:spcPct val="107000"/>
            </a:lnSpc>
            <a:spcBef>
              <a:spcPts val="0"/>
            </a:spcBef>
            <a:spcAft>
              <a:spcPts val="800"/>
            </a:spcAft>
          </a:pPr>
          <a:r>
            <a:rPr lang="en-US" sz="1100" i="1">
              <a:effectLst/>
              <a:latin typeface="Calibri" panose="020F0502020204030204" pitchFamily="34" charset="0"/>
              <a:ea typeface="Calibri" panose="020F0502020204030204" pitchFamily="34" charset="0"/>
              <a:cs typeface="Times New Roman" panose="02020603050405020304" pitchFamily="18" charset="0"/>
            </a:rPr>
            <a:t>Return to Resources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The “Return to Resources” section summarizes income and returns to the various resources as different expenses are then accounted for.</a:t>
          </a:r>
        </a:p>
        <a:p>
          <a:pPr marL="0" marR="0">
            <a:lnSpc>
              <a:spcPct val="107000"/>
            </a:lnSpc>
            <a:spcBef>
              <a:spcPts val="0"/>
            </a:spcBef>
            <a:spcAft>
              <a:spcPts val="800"/>
            </a:spcAft>
          </a:pPr>
          <a:r>
            <a:rPr lang="en-US" sz="1100" i="1">
              <a:effectLst/>
              <a:latin typeface="Calibri" panose="020F0502020204030204" pitchFamily="34" charset="0"/>
              <a:ea typeface="Calibri" panose="020F0502020204030204" pitchFamily="34" charset="0"/>
              <a:cs typeface="Times New Roman" panose="02020603050405020304" pitchFamily="18" charset="0"/>
            </a:rPr>
            <a:t> Breakeven Analysis</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The “Breakeven Analysis” calculates what the sale price would have to be for finished lambs to cover the expenses entered in the budget, the feeder price that could be paid, and results in all expenses covered based on estimated sale price in the budget.</a:t>
          </a:r>
        </a:p>
        <a:p>
          <a:endParaRPr 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51288</xdr:colOff>
      <xdr:row>0</xdr:row>
      <xdr:rowOff>58616</xdr:rowOff>
    </xdr:from>
    <xdr:to>
      <xdr:col>2</xdr:col>
      <xdr:colOff>479180</xdr:colOff>
      <xdr:row>3</xdr:row>
      <xdr:rowOff>170960</xdr:rowOff>
    </xdr:to>
    <xdr:pic>
      <xdr:nvPicPr>
        <xdr:cNvPr id="2" name="Picture 1">
          <a:extLst>
            <a:ext uri="{FF2B5EF4-FFF2-40B4-BE49-F238E27FC236}">
              <a16:creationId xmlns:a16="http://schemas.microsoft.com/office/drawing/2014/main" id="{02891132-AB1E-42EF-9B7A-35369110A75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1288" y="58616"/>
          <a:ext cx="2706565" cy="705825"/>
        </a:xfrm>
        <a:prstGeom prst="rect">
          <a:avLst/>
        </a:prstGeom>
      </xdr:spPr>
    </xdr:pic>
    <xdr:clientData/>
  </xdr:twoCellAnchor>
  <xdr:twoCellAnchor>
    <xdr:from>
      <xdr:col>1</xdr:col>
      <xdr:colOff>7327</xdr:colOff>
      <xdr:row>79</xdr:row>
      <xdr:rowOff>21980</xdr:rowOff>
    </xdr:from>
    <xdr:to>
      <xdr:col>7</xdr:col>
      <xdr:colOff>285750</xdr:colOff>
      <xdr:row>89</xdr:row>
      <xdr:rowOff>14652</xdr:rowOff>
    </xdr:to>
    <xdr:sp macro="" textlink="">
      <xdr:nvSpPr>
        <xdr:cNvPr id="3" name="TextBox 2">
          <a:extLst>
            <a:ext uri="{FF2B5EF4-FFF2-40B4-BE49-F238E27FC236}">
              <a16:creationId xmlns:a16="http://schemas.microsoft.com/office/drawing/2014/main" id="{FF1B62A8-C0AF-4042-9920-B9D1BECED344}"/>
            </a:ext>
          </a:extLst>
        </xdr:cNvPr>
        <xdr:cNvSpPr txBox="1"/>
      </xdr:nvSpPr>
      <xdr:spPr>
        <a:xfrm>
          <a:off x="249115" y="13327672"/>
          <a:ext cx="5993423" cy="1824403"/>
        </a:xfrm>
        <a:prstGeom prst="rect">
          <a:avLst/>
        </a:prstGeom>
        <a:solidFill>
          <a:srgbClr val="A0F395"/>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To the right is a sensitivity analysis table that compares changes in breakeven price and changes in feed cost per pound</a:t>
          </a:r>
          <a:r>
            <a:rPr lang="en-US" sz="1100" baseline="0"/>
            <a:t> of lamb sold (this is not the same as feed cost per pound of gain, see below for explanation) to illustrate how these changes will impact the breakeven price on a per pound of lamb sold.</a:t>
          </a:r>
        </a:p>
        <a:p>
          <a:endParaRPr lang="en-US" sz="1100" baseline="0"/>
        </a:p>
        <a:p>
          <a:r>
            <a:rPr lang="en-US" sz="1100" baseline="0"/>
            <a:t>The user may change the percentages that the table calculates.</a:t>
          </a:r>
        </a:p>
        <a:p>
          <a:endParaRPr lang="en-US" sz="1100" baseline="0"/>
        </a:p>
        <a:p>
          <a:r>
            <a:rPr lang="en-US" sz="1100" baseline="0"/>
            <a:t>Feed cost per pound of lamb sold divides feed cost over the sale weight of the lamb.  Feed cost per pound of gain divides feed cost over the pounds the lamb gains during the duration of the feedout timeframe.</a:t>
          </a:r>
          <a:endParaRPr lang="en-US" sz="1100"/>
        </a:p>
      </xdr:txBody>
    </xdr:sp>
    <xdr:clientData/>
  </xdr:twoCellAnchor>
  <xdr:oneCellAnchor>
    <xdr:from>
      <xdr:col>1</xdr:col>
      <xdr:colOff>0</xdr:colOff>
      <xdr:row>95</xdr:row>
      <xdr:rowOff>0</xdr:rowOff>
    </xdr:from>
    <xdr:ext cx="12581586" cy="280205"/>
    <xdr:sp macro="" textlink="">
      <xdr:nvSpPr>
        <xdr:cNvPr id="4" name="TextBox 3">
          <a:extLst>
            <a:ext uri="{FF2B5EF4-FFF2-40B4-BE49-F238E27FC236}">
              <a16:creationId xmlns:a16="http://schemas.microsoft.com/office/drawing/2014/main" id="{AAF95F1E-37DC-42B3-B734-1B8E8ED418D4}"/>
            </a:ext>
          </a:extLst>
        </xdr:cNvPr>
        <xdr:cNvSpPr txBox="1"/>
      </xdr:nvSpPr>
      <xdr:spPr>
        <a:xfrm>
          <a:off x="238125" y="16411575"/>
          <a:ext cx="12581586" cy="280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200"/>
            <a:t>“An EEO/AA employer, University of Wisconsin Extension provides equal opportunities in employment and programming, including Title VI,  Title IX and American with Disabilities (ADA) requirements.”</a:t>
          </a:r>
        </a:p>
      </xdr:txBody>
    </xdr:sp>
    <xdr:clientData/>
  </xdr:one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150934</xdr:colOff>
      <xdr:row>3</xdr:row>
      <xdr:rowOff>134325</xdr:rowOff>
    </xdr:to>
    <xdr:pic>
      <xdr:nvPicPr>
        <xdr:cNvPr id="2" name="Picture 1">
          <a:extLst>
            <a:ext uri="{FF2B5EF4-FFF2-40B4-BE49-F238E27FC236}">
              <a16:creationId xmlns:a16="http://schemas.microsoft.com/office/drawing/2014/main" id="{5295BD66-310A-4446-87A5-C83DCA68A08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706565" cy="70582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76200</xdr:colOff>
      <xdr:row>0</xdr:row>
      <xdr:rowOff>104775</xdr:rowOff>
    </xdr:from>
    <xdr:to>
      <xdr:col>4</xdr:col>
      <xdr:colOff>224204</xdr:colOff>
      <xdr:row>4</xdr:row>
      <xdr:rowOff>23934</xdr:rowOff>
    </xdr:to>
    <xdr:pic>
      <xdr:nvPicPr>
        <xdr:cNvPr id="2" name="Picture 1">
          <a:extLst>
            <a:ext uri="{FF2B5EF4-FFF2-40B4-BE49-F238E27FC236}">
              <a16:creationId xmlns:a16="http://schemas.microsoft.com/office/drawing/2014/main" id="{9440A43B-8C12-449D-8E1D-2137E0B7947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6200" y="104775"/>
          <a:ext cx="2586404" cy="681159"/>
        </a:xfrm>
        <a:prstGeom prst="rect">
          <a:avLst/>
        </a:prstGeom>
      </xdr:spPr>
    </xdr:pic>
    <xdr:clientData/>
  </xdr:twoCellAnchor>
  <xdr:twoCellAnchor>
    <xdr:from>
      <xdr:col>0</xdr:col>
      <xdr:colOff>257174</xdr:colOff>
      <xdr:row>7</xdr:row>
      <xdr:rowOff>9523</xdr:rowOff>
    </xdr:from>
    <xdr:to>
      <xdr:col>11</xdr:col>
      <xdr:colOff>342899</xdr:colOff>
      <xdr:row>102</xdr:row>
      <xdr:rowOff>104774</xdr:rowOff>
    </xdr:to>
    <xdr:sp macro="" textlink="">
      <xdr:nvSpPr>
        <xdr:cNvPr id="3" name="TextBox 2">
          <a:extLst>
            <a:ext uri="{FF2B5EF4-FFF2-40B4-BE49-F238E27FC236}">
              <a16:creationId xmlns:a16="http://schemas.microsoft.com/office/drawing/2014/main" id="{51F08757-C50F-4363-884E-127B6B75501F}"/>
            </a:ext>
          </a:extLst>
        </xdr:cNvPr>
        <xdr:cNvSpPr txBox="1"/>
      </xdr:nvSpPr>
      <xdr:spPr>
        <a:xfrm>
          <a:off x="257174" y="1343023"/>
          <a:ext cx="6791325" cy="1819275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Directions for the Pasture Lamb Finishing Budget Spreadsheet</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This Enterprise budget spreadsheet is intended to be a practical approach for producers to evaluate profitability of their drylot lamb finishing enterprise.  It may also be used to assist with estimating projections for future years or changes to the enterprise.</a:t>
          </a:r>
        </a:p>
        <a:p>
          <a:r>
            <a:rPr lang="en-US" sz="1100">
              <a:solidFill>
                <a:schemeClr val="dk1"/>
              </a:solidFill>
              <a:effectLst/>
              <a:latin typeface="+mn-lt"/>
              <a:ea typeface="+mn-ea"/>
              <a:cs typeface="+mn-cs"/>
            </a:rPr>
            <a:t>The cells that are </a:t>
          </a:r>
          <a:r>
            <a:rPr lang="en-US" sz="1100" i="1" u="sng">
              <a:solidFill>
                <a:schemeClr val="dk1"/>
              </a:solidFill>
              <a:effectLst/>
              <a:latin typeface="+mn-lt"/>
              <a:ea typeface="+mn-ea"/>
              <a:cs typeface="+mn-cs"/>
            </a:rPr>
            <a:t>light blue in color can be edited by the user</a:t>
          </a:r>
          <a:r>
            <a:rPr lang="en-US" sz="1100">
              <a:solidFill>
                <a:schemeClr val="dk1"/>
              </a:solidFill>
              <a:effectLst/>
              <a:latin typeface="+mn-lt"/>
              <a:ea typeface="+mn-ea"/>
              <a:cs typeface="+mn-cs"/>
            </a:rPr>
            <a:t>.  Cells that are yellow are calculated from user inputs and cannot be edited by the user.  Green boxes on the spreadsheet contain helpful hints and provide additional information. The enterprise budget calculates revenue and expenses on a per head and per-group basis.  </a:t>
          </a:r>
        </a:p>
        <a:p>
          <a:r>
            <a:rPr lang="en-US" sz="1100" b="1">
              <a:solidFill>
                <a:schemeClr val="dk1"/>
              </a:solidFill>
              <a:effectLst/>
              <a:latin typeface="+mn-lt"/>
              <a:ea typeface="+mn-ea"/>
              <a:cs typeface="+mn-cs"/>
            </a:rPr>
            <a:t>The accuracy of the information generated is only as good as the information entered to calculate it.   </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If you encounter any problems with the spreadsheet, contact Carolyn Ihde at carolyn.ihde@wisc.edu, Amanda Cauffman at amanda.cauffman@wisc.edu, Bill Halfman at </a:t>
          </a:r>
          <a:r>
            <a:rPr lang="en-US" sz="1100" u="sng">
              <a:solidFill>
                <a:schemeClr val="dk1"/>
              </a:solidFill>
              <a:effectLst/>
              <a:latin typeface="+mn-lt"/>
              <a:ea typeface="+mn-ea"/>
              <a:cs typeface="+mn-cs"/>
              <a:hlinkClick xmlns:r="http://schemas.openxmlformats.org/officeDocument/2006/relationships" r:id=""/>
            </a:rPr>
            <a:t>william.halfman@wisc.edu</a:t>
          </a:r>
          <a:r>
            <a:rPr lang="en-US" sz="1100">
              <a:solidFill>
                <a:schemeClr val="dk1"/>
              </a:solidFill>
              <a:effectLst/>
              <a:latin typeface="+mn-lt"/>
              <a:ea typeface="+mn-ea"/>
              <a:cs typeface="+mn-cs"/>
            </a:rPr>
            <a:t>, or Dr. Brenda Boetel at </a:t>
          </a:r>
          <a:r>
            <a:rPr lang="en-US" sz="1100" u="sng">
              <a:solidFill>
                <a:schemeClr val="dk1"/>
              </a:solidFill>
              <a:effectLst/>
              <a:latin typeface="+mn-lt"/>
              <a:ea typeface="+mn-ea"/>
              <a:cs typeface="+mn-cs"/>
            </a:rPr>
            <a:t>brenda.boetel@uwrf.edu</a:t>
          </a:r>
          <a:r>
            <a:rPr lang="en-US" sz="1100">
              <a:solidFill>
                <a:schemeClr val="dk1"/>
              </a:solidFill>
              <a:effectLst/>
              <a:latin typeface="+mn-lt"/>
              <a:ea typeface="+mn-ea"/>
              <a:cs typeface="+mn-cs"/>
            </a:rPr>
            <a:t>. The following directions will cover each spreadsheet section and provide some guidelines and explanations for entering data.</a:t>
          </a:r>
        </a:p>
        <a:p>
          <a:r>
            <a:rPr lang="en-US" sz="1100" b="1">
              <a:solidFill>
                <a:schemeClr val="dk1"/>
              </a:solidFill>
              <a:effectLst/>
              <a:latin typeface="+mn-lt"/>
              <a:ea typeface="+mn-ea"/>
              <a:cs typeface="+mn-cs"/>
            </a:rPr>
            <a:t>Revenue</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In the revenue section, the user enters the projected/estimated sale date, live weight, sale price of the lambs, and the number of head in the group. There is a line to enter pounds of wool per head and a price for the wool if the lambs are sheared prior to sale. An “Other” income line is also included for LDP payments or other potential revenue.</a:t>
          </a:r>
        </a:p>
        <a:p>
          <a:r>
            <a:rPr lang="en-US" sz="1100" b="1">
              <a:solidFill>
                <a:schemeClr val="dk1"/>
              </a:solidFill>
              <a:effectLst/>
              <a:latin typeface="+mn-lt"/>
              <a:ea typeface="+mn-ea"/>
              <a:cs typeface="+mn-cs"/>
            </a:rPr>
            <a:t>Expenses</a:t>
          </a:r>
          <a:endParaRPr lang="en-US" sz="1100">
            <a:solidFill>
              <a:schemeClr val="dk1"/>
            </a:solidFill>
            <a:effectLst/>
            <a:latin typeface="+mn-lt"/>
            <a:ea typeface="+mn-ea"/>
            <a:cs typeface="+mn-cs"/>
          </a:endParaRPr>
        </a:p>
        <a:p>
          <a:r>
            <a:rPr lang="en-US" sz="1100" i="1">
              <a:solidFill>
                <a:schemeClr val="dk1"/>
              </a:solidFill>
              <a:effectLst/>
              <a:latin typeface="+mn-lt"/>
              <a:ea typeface="+mn-ea"/>
              <a:cs typeface="+mn-cs"/>
            </a:rPr>
            <a:t>Feeder lamb cost/value</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In the first section of the expenses, the user enters the projected/estimated start date, starting weight, and cost of the feeder lambs.  If the lambs are home raised, an opportunity cost of what they could be sold for as feeders should be used.  The user will need to enter in a total number of lambs in the group.</a:t>
          </a:r>
        </a:p>
        <a:p>
          <a:r>
            <a:rPr lang="en-US" sz="1100">
              <a:solidFill>
                <a:schemeClr val="dk1"/>
              </a:solidFill>
              <a:effectLst/>
              <a:latin typeface="+mn-lt"/>
              <a:ea typeface="+mn-ea"/>
              <a:cs typeface="+mn-cs"/>
            </a:rPr>
            <a:t>From the information collected at this time, an estimate of total pounds gained, days on feed, and average daily gain are calculated.  The feed to gain value is calculated after the feed information is entered on the </a:t>
          </a:r>
          <a:r>
            <a:rPr lang="en-US" sz="1100" b="1">
              <a:solidFill>
                <a:schemeClr val="dk1"/>
              </a:solidFill>
              <a:effectLst/>
              <a:latin typeface="+mn-lt"/>
              <a:ea typeface="+mn-ea"/>
              <a:cs typeface="+mn-cs"/>
            </a:rPr>
            <a:t>“Drylot Lamb Finishing Feed Cost Sheet”.</a:t>
          </a:r>
          <a:r>
            <a:rPr lang="en-US" sz="1100">
              <a:solidFill>
                <a:schemeClr val="dk1"/>
              </a:solidFill>
              <a:effectLst/>
              <a:latin typeface="+mn-lt"/>
              <a:ea typeface="+mn-ea"/>
              <a:cs typeface="+mn-cs"/>
            </a:rPr>
            <a:t>  Look for the tab with this title at the bottom of the spreadsheet file.</a:t>
          </a:r>
        </a:p>
        <a:p>
          <a:endParaRPr lang="en-US" sz="1100" i="1">
            <a:solidFill>
              <a:schemeClr val="dk1"/>
            </a:solidFill>
            <a:effectLst/>
            <a:latin typeface="+mn-lt"/>
            <a:ea typeface="+mn-ea"/>
            <a:cs typeface="+mn-cs"/>
          </a:endParaRPr>
        </a:p>
        <a:p>
          <a:r>
            <a:rPr lang="en-US" sz="1100" i="1">
              <a:solidFill>
                <a:schemeClr val="dk1"/>
              </a:solidFill>
              <a:effectLst/>
              <a:latin typeface="+mn-lt"/>
              <a:ea typeface="+mn-ea"/>
              <a:cs typeface="+mn-cs"/>
            </a:rPr>
            <a:t>Pasture Expenses</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Pasture expenses start with listing the number of acres that the lambs will be out on during the finishing period.  The user then can enter a per acre pasture rental rate equal to what the pasture could be rented out for if it is owned pasture, or the actual amount per acre the pasture is rented for if it is rented pasture.  It is important to be practical about the opportunity costs entered for owned pasture.</a:t>
          </a:r>
        </a:p>
        <a:p>
          <a:r>
            <a:rPr lang="en-US" sz="1100">
              <a:solidFill>
                <a:schemeClr val="dk1"/>
              </a:solidFill>
              <a:effectLst/>
              <a:latin typeface="+mn-lt"/>
              <a:ea typeface="+mn-ea"/>
              <a:cs typeface="+mn-cs"/>
            </a:rPr>
            <a:t>The next section of pasture costs including seed, fertilizer, fencing and weed control are entered in on a per acre basis by the user.  A link to a fact sheet on estimating fencing costs from Iowa State is included as a reference.  Fencing costs should include annual repairs and a depreciation value for the initial cost of the fence.  Seed, fertilizer and weed control expenses may not be incurred every year, so pro-rated values that represent an annual cost incurred for these expenses should be entered.</a:t>
          </a:r>
        </a:p>
        <a:p>
          <a:r>
            <a:rPr lang="en-US" sz="1100">
              <a:solidFill>
                <a:schemeClr val="dk1"/>
              </a:solidFill>
              <a:effectLst/>
              <a:latin typeface="+mn-lt"/>
              <a:ea typeface="+mn-ea"/>
              <a:cs typeface="+mn-cs"/>
            </a:rPr>
            <a:t>Machinery and equipment should be a reasonable cost estimate of these items that are used for pasture maintenance and care of the lambs while on pasture during the finishing period, for example if the pasture is mowed to help control weeds and encourage desirable plant growth the cost of mowing the pasture should be entered on a per acre basis.</a:t>
          </a:r>
        </a:p>
        <a:p>
          <a:r>
            <a:rPr lang="en-US" sz="1100">
              <a:solidFill>
                <a:schemeClr val="dk1"/>
              </a:solidFill>
              <a:effectLst/>
              <a:latin typeface="+mn-lt"/>
              <a:ea typeface="+mn-ea"/>
              <a:cs typeface="+mn-cs"/>
            </a:rPr>
            <a:t>The other line can be used for any other pasture related exepenses.</a:t>
          </a:r>
        </a:p>
        <a:p>
          <a:endParaRPr lang="en-US" sz="1100" i="1">
            <a:solidFill>
              <a:schemeClr val="dk1"/>
            </a:solidFill>
            <a:effectLst/>
            <a:latin typeface="+mn-lt"/>
            <a:ea typeface="+mn-ea"/>
            <a:cs typeface="+mn-cs"/>
          </a:endParaRPr>
        </a:p>
        <a:p>
          <a:r>
            <a:rPr lang="en-US" sz="1100" i="1">
              <a:solidFill>
                <a:schemeClr val="dk1"/>
              </a:solidFill>
              <a:effectLst/>
              <a:latin typeface="+mn-lt"/>
              <a:ea typeface="+mn-ea"/>
              <a:cs typeface="+mn-cs"/>
            </a:rPr>
            <a:t>Additional Home Grown and Purchased Feed Costs</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Feed costs are entered in the </a:t>
          </a:r>
          <a:r>
            <a:rPr lang="en-US" sz="1100" b="1">
              <a:solidFill>
                <a:schemeClr val="dk1"/>
              </a:solidFill>
              <a:effectLst/>
              <a:latin typeface="+mn-lt"/>
              <a:ea typeface="+mn-ea"/>
              <a:cs typeface="+mn-cs"/>
            </a:rPr>
            <a:t>“Drylot Lamb Finishing Feed Cost Sheet” </a:t>
          </a:r>
          <a:r>
            <a:rPr lang="en-US" sz="1100">
              <a:solidFill>
                <a:schemeClr val="dk1"/>
              </a:solidFill>
              <a:effectLst/>
              <a:latin typeface="+mn-lt"/>
              <a:ea typeface="+mn-ea"/>
              <a:cs typeface="+mn-cs"/>
            </a:rPr>
            <a:t>as stated above.  </a:t>
          </a:r>
        </a:p>
        <a:p>
          <a:r>
            <a:rPr lang="en-US" sz="1100">
              <a:solidFill>
                <a:schemeClr val="dk1"/>
              </a:solidFill>
              <a:effectLst/>
              <a:latin typeface="+mn-lt"/>
              <a:ea typeface="+mn-ea"/>
              <a:cs typeface="+mn-cs"/>
            </a:rPr>
            <a:t>There are two sections to this sheet.  The first section is where any feed delivered when they are in a dry lot (a weaning or receiving period for example) is accounted.  The second section is where supplemental feed they receive while on pasture is entered.</a:t>
          </a:r>
        </a:p>
        <a:p>
          <a:r>
            <a:rPr lang="en-US" sz="1100">
              <a:solidFill>
                <a:schemeClr val="dk1"/>
              </a:solidFill>
              <a:effectLst/>
              <a:latin typeface="+mn-lt"/>
              <a:ea typeface="+mn-ea"/>
              <a:cs typeface="+mn-cs"/>
            </a:rPr>
            <a:t>In both sections, the user enters the average daily amounts of feed delivered to the sheep over the duration of the individual feeding periods.  If available, previous year’s feed amounts of each feed typically used to finish their lambs can be used to fine-tune the daily feed usage by the lambs.  </a:t>
          </a:r>
        </a:p>
        <a:p>
          <a:r>
            <a:rPr lang="en-US" sz="1100">
              <a:solidFill>
                <a:schemeClr val="dk1"/>
              </a:solidFill>
              <a:effectLst/>
              <a:latin typeface="+mn-lt"/>
              <a:ea typeface="+mn-ea"/>
              <a:cs typeface="+mn-cs"/>
            </a:rPr>
            <a:t>It is important to account for feed on a “feed delivered” basis to account for feeding loss due to feeder style and picking/sorting of feed by lambs. Remember, if the feed is delivered, it is a cost incurred by the group. Users may also want to consider storage loss. A storage loss factor can be added to the amount of feed delivered to the lambs.  </a:t>
          </a:r>
        </a:p>
        <a:p>
          <a:r>
            <a:rPr lang="en-US" sz="1100">
              <a:solidFill>
                <a:schemeClr val="dk1"/>
              </a:solidFill>
              <a:effectLst/>
              <a:latin typeface="+mn-lt"/>
              <a:ea typeface="+mn-ea"/>
              <a:cs typeface="+mn-cs"/>
            </a:rPr>
            <a:t>There are additional calculators at the bottom of the feed entry table to assist with converting the price per bag and price per bushel to a price per ton basis for the table.</a:t>
          </a:r>
        </a:p>
        <a:p>
          <a:r>
            <a:rPr lang="en-US" sz="1100" b="1">
              <a:solidFill>
                <a:schemeClr val="dk1"/>
              </a:solidFill>
              <a:effectLst/>
              <a:latin typeface="+mn-lt"/>
              <a:ea typeface="+mn-ea"/>
              <a:cs typeface="+mn-cs"/>
            </a:rPr>
            <a:t>Please note:  </a:t>
          </a:r>
          <a:r>
            <a:rPr lang="en-US" sz="1100">
              <a:solidFill>
                <a:schemeClr val="dk1"/>
              </a:solidFill>
              <a:effectLst/>
              <a:latin typeface="+mn-lt"/>
              <a:ea typeface="+mn-ea"/>
              <a:cs typeface="+mn-cs"/>
            </a:rPr>
            <a:t>The feed cost summary information is automatically entered into the lamb finishing budget spreadsheet.</a:t>
          </a:r>
        </a:p>
        <a:p>
          <a:endParaRPr lang="en-US" sz="1100" i="1">
            <a:solidFill>
              <a:schemeClr val="dk1"/>
            </a:solidFill>
            <a:effectLst/>
            <a:latin typeface="+mn-lt"/>
            <a:ea typeface="+mn-ea"/>
            <a:cs typeface="+mn-cs"/>
          </a:endParaRPr>
        </a:p>
        <a:p>
          <a:r>
            <a:rPr lang="en-US" sz="1100" i="1">
              <a:solidFill>
                <a:schemeClr val="dk1"/>
              </a:solidFill>
              <a:effectLst/>
              <a:latin typeface="+mn-lt"/>
              <a:ea typeface="+mn-ea"/>
              <a:cs typeface="+mn-cs"/>
            </a:rPr>
            <a:t>Veterinary, Pharmaceutical, and Health Costs</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In this section of expenses, the user enters the costs or expected costs for the whole group, and the spreadsheet will calculate cost on a per head basis.  </a:t>
          </a:r>
        </a:p>
        <a:p>
          <a:endParaRPr lang="en-US" sz="1100" i="1">
            <a:solidFill>
              <a:schemeClr val="dk1"/>
            </a:solidFill>
            <a:effectLst/>
            <a:latin typeface="+mn-lt"/>
            <a:ea typeface="+mn-ea"/>
            <a:cs typeface="+mn-cs"/>
          </a:endParaRPr>
        </a:p>
        <a:p>
          <a:r>
            <a:rPr lang="en-US" sz="1100" i="1">
              <a:solidFill>
                <a:schemeClr val="dk1"/>
              </a:solidFill>
              <a:effectLst/>
              <a:latin typeface="+mn-lt"/>
              <a:ea typeface="+mn-ea"/>
              <a:cs typeface="+mn-cs"/>
            </a:rPr>
            <a:t>Other Expenses</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The “Other Expenses” section contains several expenses common to a lamb finishing enterprise.  Most of the per head costs are calculated when the user enters in the cost for the entire group.  </a:t>
          </a:r>
        </a:p>
        <a:p>
          <a:r>
            <a:rPr lang="en-US" sz="1100">
              <a:solidFill>
                <a:schemeClr val="dk1"/>
              </a:solidFill>
              <a:effectLst/>
              <a:latin typeface="+mn-lt"/>
              <a:ea typeface="+mn-ea"/>
              <a:cs typeface="+mn-cs"/>
            </a:rPr>
            <a:t>To determine the death loss expense, the user enters the group's expected percent death loss.  Interest expense on both the feeder lambs and feed costs are calculated in this section.  It is assumed that 100% of these costs are borrowed, and either an operating loan interest rate can be used, or if the user is self-funding, then an opportunity cost interest rate they could earn if that money were in savings can be used.</a:t>
          </a:r>
        </a:p>
        <a:p>
          <a:endParaRPr lang="en-US" sz="1100" i="1">
            <a:solidFill>
              <a:schemeClr val="dk1"/>
            </a:solidFill>
            <a:effectLst/>
            <a:latin typeface="+mn-lt"/>
            <a:ea typeface="+mn-ea"/>
            <a:cs typeface="+mn-cs"/>
          </a:endParaRPr>
        </a:p>
        <a:p>
          <a:r>
            <a:rPr lang="en-US" sz="1100" i="1">
              <a:solidFill>
                <a:schemeClr val="dk1"/>
              </a:solidFill>
              <a:effectLst/>
              <a:latin typeface="+mn-lt"/>
              <a:ea typeface="+mn-ea"/>
              <a:cs typeface="+mn-cs"/>
            </a:rPr>
            <a:t>Yardage</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For this budget yardage is only entered for the time that the lambs may be confined to a drylot situation, for example a receiving or weaning period.  UW Extension has a separate yardage spreadsheet available that will work for a lamb feeding enterprise.  It is available at this webpage: </a:t>
          </a:r>
          <a:r>
            <a:rPr lang="en-US" sz="1100" u="sng">
              <a:solidFill>
                <a:schemeClr val="dk1"/>
              </a:solidFill>
              <a:effectLst/>
              <a:latin typeface="+mn-lt"/>
              <a:ea typeface="+mn-ea"/>
              <a:cs typeface="+mn-cs"/>
              <a:hlinkClick xmlns:r="http://schemas.openxmlformats.org/officeDocument/2006/relationships" r:id=""/>
            </a:rPr>
            <a:t>https://livestock.extension.wisc.edu/article-topic/decision-tools-and-software/</a:t>
          </a:r>
          <a:r>
            <a:rPr lang="en-US" sz="1100">
              <a:solidFill>
                <a:schemeClr val="dk1"/>
              </a:solidFill>
              <a:effectLst/>
              <a:latin typeface="+mn-lt"/>
              <a:ea typeface="+mn-ea"/>
              <a:cs typeface="+mn-cs"/>
            </a:rPr>
            <a:t> .  There is no standard definition of the non-fixed costs that must be included in yardage.</a:t>
          </a:r>
        </a:p>
        <a:p>
          <a:r>
            <a:rPr lang="en-US" sz="1100">
              <a:solidFill>
                <a:schemeClr val="dk1"/>
              </a:solidFill>
              <a:effectLst/>
              <a:latin typeface="+mn-lt"/>
              <a:ea typeface="+mn-ea"/>
              <a:cs typeface="+mn-cs"/>
            </a:rPr>
            <a:t>In this spreadsheet tool, the yardage should include the fixed costs the sheep are expected to pay of taxes, insurance, depreciation, and interest on long-term assets (buildings, machinery, and equipment) and non-fixed costs of fuel, utilities, office, repairs, and miscellaneous expenses. This spreadsheet has bedding, transportation and veterinary expenses on separate lines. The summary section contains a return to labor and management line; therefore, the user may include paid labor and management in yardage, then the return to labor and management line is the return to the owner's unpaid labor and management.  </a:t>
          </a:r>
        </a:p>
        <a:p>
          <a:endParaRPr lang="en-US" sz="1100" i="1">
            <a:solidFill>
              <a:schemeClr val="dk1"/>
            </a:solidFill>
            <a:effectLst/>
            <a:latin typeface="+mn-lt"/>
            <a:ea typeface="+mn-ea"/>
            <a:cs typeface="+mn-cs"/>
          </a:endParaRPr>
        </a:p>
        <a:p>
          <a:r>
            <a:rPr lang="en-US" sz="1100" i="1">
              <a:solidFill>
                <a:schemeClr val="dk1"/>
              </a:solidFill>
              <a:effectLst/>
              <a:latin typeface="+mn-lt"/>
              <a:ea typeface="+mn-ea"/>
              <a:cs typeface="+mn-cs"/>
            </a:rPr>
            <a:t>Cost per Pound of Gain</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Cost per pound of gain is calculated from user inputs to determine the costs per pound the animal gains during the feeding period.  Cost per pound of gain is for the pounds that the animal gains during the feeding/finishing time.  It does not include the feeder price or the cost of gain for weight gained before the beginning date.</a:t>
          </a:r>
        </a:p>
        <a:p>
          <a:endParaRPr lang="en-US" sz="1100" i="1">
            <a:solidFill>
              <a:schemeClr val="dk1"/>
            </a:solidFill>
            <a:effectLst/>
            <a:latin typeface="+mn-lt"/>
            <a:ea typeface="+mn-ea"/>
            <a:cs typeface="+mn-cs"/>
          </a:endParaRPr>
        </a:p>
        <a:p>
          <a:r>
            <a:rPr lang="en-US" sz="1100" i="1">
              <a:solidFill>
                <a:schemeClr val="dk1"/>
              </a:solidFill>
              <a:effectLst/>
              <a:latin typeface="+mn-lt"/>
              <a:ea typeface="+mn-ea"/>
              <a:cs typeface="+mn-cs"/>
            </a:rPr>
            <a:t>Return to Resources </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The “Return to Resources” section summarizes income and returns to the various resources as different expenses are then accounted for.</a:t>
          </a:r>
        </a:p>
        <a:p>
          <a:r>
            <a:rPr lang="en-US" sz="1100" i="1">
              <a:solidFill>
                <a:schemeClr val="dk1"/>
              </a:solidFill>
              <a:effectLst/>
              <a:latin typeface="+mn-lt"/>
              <a:ea typeface="+mn-ea"/>
              <a:cs typeface="+mn-cs"/>
            </a:rPr>
            <a:t> </a:t>
          </a:r>
          <a:endParaRPr lang="en-US" sz="1100">
            <a:solidFill>
              <a:schemeClr val="dk1"/>
            </a:solidFill>
            <a:effectLst/>
            <a:latin typeface="+mn-lt"/>
            <a:ea typeface="+mn-ea"/>
            <a:cs typeface="+mn-cs"/>
          </a:endParaRPr>
        </a:p>
        <a:p>
          <a:r>
            <a:rPr lang="en-US" sz="1100" i="1">
              <a:solidFill>
                <a:schemeClr val="dk1"/>
              </a:solidFill>
              <a:effectLst/>
              <a:latin typeface="+mn-lt"/>
              <a:ea typeface="+mn-ea"/>
              <a:cs typeface="+mn-cs"/>
            </a:rPr>
            <a:t> Breakeven Analysis</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The “Breakeven Analysis” calculates what the sale price would have to be for finished lambs to cover the expenses entered in the budget, the feeder price that could be paid, and results in all expenses covered based on estimated sale price in the budget.</a:t>
          </a: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A senstivity analysis table is also included to show how changes in sale price and feed costs influence the breakeven cost of production.</a:t>
          </a:r>
        </a:p>
        <a:p>
          <a:endParaRPr 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51288</xdr:colOff>
      <xdr:row>0</xdr:row>
      <xdr:rowOff>58616</xdr:rowOff>
    </xdr:from>
    <xdr:to>
      <xdr:col>2</xdr:col>
      <xdr:colOff>479180</xdr:colOff>
      <xdr:row>3</xdr:row>
      <xdr:rowOff>170960</xdr:rowOff>
    </xdr:to>
    <xdr:pic>
      <xdr:nvPicPr>
        <xdr:cNvPr id="2" name="Picture 1">
          <a:extLst>
            <a:ext uri="{FF2B5EF4-FFF2-40B4-BE49-F238E27FC236}">
              <a16:creationId xmlns:a16="http://schemas.microsoft.com/office/drawing/2014/main" id="{2EAC64A3-3AFF-41EC-84C2-AF0E0993817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1288" y="58616"/>
          <a:ext cx="2704367" cy="712419"/>
        </a:xfrm>
        <a:prstGeom prst="rect">
          <a:avLst/>
        </a:prstGeom>
      </xdr:spPr>
    </xdr:pic>
    <xdr:clientData/>
  </xdr:twoCellAnchor>
  <xdr:twoCellAnchor>
    <xdr:from>
      <xdr:col>0</xdr:col>
      <xdr:colOff>241788</xdr:colOff>
      <xdr:row>100</xdr:row>
      <xdr:rowOff>0</xdr:rowOff>
    </xdr:from>
    <xdr:to>
      <xdr:col>7</xdr:col>
      <xdr:colOff>278423</xdr:colOff>
      <xdr:row>109</xdr:row>
      <xdr:rowOff>190499</xdr:rowOff>
    </xdr:to>
    <xdr:sp macro="" textlink="">
      <xdr:nvSpPr>
        <xdr:cNvPr id="3" name="TextBox 2">
          <a:extLst>
            <a:ext uri="{FF2B5EF4-FFF2-40B4-BE49-F238E27FC236}">
              <a16:creationId xmlns:a16="http://schemas.microsoft.com/office/drawing/2014/main" id="{2AF876C6-4C40-4882-9BC4-036422BBE20A}"/>
            </a:ext>
          </a:extLst>
        </xdr:cNvPr>
        <xdr:cNvSpPr txBox="1"/>
      </xdr:nvSpPr>
      <xdr:spPr>
        <a:xfrm>
          <a:off x="241788" y="16771327"/>
          <a:ext cx="5993423" cy="1824403"/>
        </a:xfrm>
        <a:prstGeom prst="rect">
          <a:avLst/>
        </a:prstGeom>
        <a:solidFill>
          <a:srgbClr val="A0F395"/>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To the right is a sensitivity analysis table that compares changes in breakeven price and changes in feed cost per pound</a:t>
          </a:r>
          <a:r>
            <a:rPr lang="en-US" sz="1100" baseline="0"/>
            <a:t> of lamb sold (this is not the same as feed cost per pound of gain, see below for explanation) to illustrate how these changes will impact the breakeven price on a per pound of lamb sold.</a:t>
          </a:r>
        </a:p>
        <a:p>
          <a:endParaRPr lang="en-US" sz="1100" baseline="0"/>
        </a:p>
        <a:p>
          <a:r>
            <a:rPr lang="en-US" sz="1100" baseline="0"/>
            <a:t>The user may change the percentages that the table calculates.</a:t>
          </a:r>
        </a:p>
        <a:p>
          <a:endParaRPr lang="en-US" sz="1100" baseline="0"/>
        </a:p>
        <a:p>
          <a:r>
            <a:rPr lang="en-US" sz="1100" baseline="0"/>
            <a:t>Feed cost per pound of lamb sold divides feed cost over the sale weight of the lamb.  Feed cost per pound of gain divides feed cost over the pounds the lamb gains during the duration of the feedout timeframe.</a:t>
          </a:r>
          <a:endParaRPr lang="en-US" sz="1100"/>
        </a:p>
      </xdr:txBody>
    </xdr:sp>
    <xdr:clientData/>
  </xdr:twoCellAnchor>
  <xdr:oneCellAnchor>
    <xdr:from>
      <xdr:col>1</xdr:col>
      <xdr:colOff>0</xdr:colOff>
      <xdr:row>116</xdr:row>
      <xdr:rowOff>0</xdr:rowOff>
    </xdr:from>
    <xdr:ext cx="12581586" cy="280205"/>
    <xdr:sp macro="" textlink="">
      <xdr:nvSpPr>
        <xdr:cNvPr id="4" name="TextBox 3">
          <a:extLst>
            <a:ext uri="{FF2B5EF4-FFF2-40B4-BE49-F238E27FC236}">
              <a16:creationId xmlns:a16="http://schemas.microsoft.com/office/drawing/2014/main" id="{B6267DE4-8278-41FD-8B2C-DA029624F930}"/>
            </a:ext>
          </a:extLst>
        </xdr:cNvPr>
        <xdr:cNvSpPr txBox="1"/>
      </xdr:nvSpPr>
      <xdr:spPr>
        <a:xfrm>
          <a:off x="238125" y="19732625"/>
          <a:ext cx="12581586" cy="280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200"/>
            <a:t>“An EEO/AA employer, University of Wisconsin Extension provides equal opportunities in employment and programming, including Title VI,  Title IX and American with Disabilities (ADA) requirements.”</a:t>
          </a:r>
        </a:p>
      </xdr:txBody>
    </xdr:sp>
    <xdr:clientData/>
  </xdr:one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150934</xdr:colOff>
      <xdr:row>3</xdr:row>
      <xdr:rowOff>134325</xdr:rowOff>
    </xdr:to>
    <xdr:pic>
      <xdr:nvPicPr>
        <xdr:cNvPr id="2" name="Picture 1">
          <a:extLst>
            <a:ext uri="{FF2B5EF4-FFF2-40B4-BE49-F238E27FC236}">
              <a16:creationId xmlns:a16="http://schemas.microsoft.com/office/drawing/2014/main" id="{4F033EFA-7993-48F9-A6E0-E6D15770AE4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703634" cy="7058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4.bin"/><Relationship Id="rId1" Type="http://schemas.openxmlformats.org/officeDocument/2006/relationships/hyperlink" Target="https://www.extension.iastate.edu/agdm/livestock/html/b1-75.html" TargetMode="Externa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D27DF0-0DD4-4456-9879-D974E5716F06}">
  <sheetPr>
    <tabColor rgb="FFFF0000"/>
  </sheetPr>
  <dimension ref="A5"/>
  <sheetViews>
    <sheetView tabSelected="1" zoomScale="130" zoomScaleNormal="130" workbookViewId="0">
      <selection activeCell="I4" sqref="I4"/>
    </sheetView>
  </sheetViews>
  <sheetFormatPr defaultRowHeight="15" x14ac:dyDescent="0.25"/>
  <sheetData>
    <row r="5" spans="1:1" ht="18.75" x14ac:dyDescent="0.3">
      <c r="A5" s="1" t="s">
        <v>385</v>
      </c>
    </row>
  </sheetData>
  <sheetProtection algorithmName="SHA-512" hashValue="AAH1NMOQRl8Q8MeoM4qQqhQTCGvnq3HbNUjgEn2gTdwIbMTFOi15ZKi54wKRr6XBsWZylQxH854LFbuAZl6Byg==" saltValue="LeTBx5qYVQ4/JTiZJU9GNA==" spinCount="100000" sheet="1" objects="1" scenarios="1"/>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3:Z1082"/>
  <sheetViews>
    <sheetView zoomScaleNormal="100" workbookViewId="0">
      <selection activeCell="A7" sqref="A7"/>
    </sheetView>
  </sheetViews>
  <sheetFormatPr defaultColWidth="15.140625" defaultRowHeight="15" customHeight="1" x14ac:dyDescent="0.25"/>
  <cols>
    <col min="1" max="1" width="29.85546875" customWidth="1"/>
    <col min="2" max="2" width="14.140625" customWidth="1"/>
    <col min="3" max="3" width="18.42578125" customWidth="1"/>
    <col min="4" max="4" width="17.7109375" customWidth="1"/>
    <col min="5" max="5" width="17" customWidth="1"/>
    <col min="6" max="6" width="17.42578125" customWidth="1"/>
    <col min="7" max="7" width="20.42578125" customWidth="1"/>
    <col min="8" max="8" width="16.85546875" customWidth="1"/>
    <col min="9" max="9" width="23.42578125" customWidth="1"/>
    <col min="10" max="26" width="21.42578125" customWidth="1"/>
  </cols>
  <sheetData>
    <row r="3" spans="1:26" ht="15" customHeight="1" x14ac:dyDescent="0.25">
      <c r="D3" s="306" t="s">
        <v>0</v>
      </c>
      <c r="E3" s="307"/>
      <c r="F3" s="307"/>
      <c r="G3" s="306"/>
      <c r="H3" s="307"/>
      <c r="I3" s="307"/>
    </row>
    <row r="4" spans="1:26" ht="15" customHeight="1" x14ac:dyDescent="0.25">
      <c r="D4" s="306" t="s">
        <v>1</v>
      </c>
      <c r="E4" s="307"/>
      <c r="F4" s="307"/>
      <c r="G4" s="307"/>
      <c r="H4" s="307"/>
      <c r="I4" s="307"/>
    </row>
    <row r="6" spans="1:26" ht="18.75" customHeight="1" x14ac:dyDescent="0.3">
      <c r="A6" s="1" t="s">
        <v>384</v>
      </c>
      <c r="B6" s="2"/>
      <c r="C6" s="2"/>
      <c r="D6" s="2"/>
      <c r="E6" s="2"/>
      <c r="F6" s="2"/>
      <c r="G6" s="2"/>
      <c r="H6" s="2"/>
      <c r="I6" s="2"/>
      <c r="J6" s="2"/>
      <c r="K6" s="2"/>
      <c r="L6" s="2"/>
      <c r="M6" s="2"/>
      <c r="N6" s="2"/>
      <c r="O6" s="2"/>
      <c r="P6" s="2"/>
      <c r="Q6" s="2"/>
      <c r="R6" s="2"/>
      <c r="S6" s="2"/>
      <c r="T6" s="2"/>
      <c r="U6" s="2"/>
      <c r="V6" s="2"/>
      <c r="W6" s="2"/>
      <c r="X6" s="2"/>
      <c r="Y6" s="2"/>
      <c r="Z6" s="2"/>
    </row>
    <row r="7" spans="1:26" ht="18.75" customHeight="1" x14ac:dyDescent="0.3">
      <c r="A7" s="2"/>
      <c r="B7" s="2"/>
      <c r="C7" s="2" t="s">
        <v>2</v>
      </c>
      <c r="D7" s="2"/>
      <c r="E7" s="2"/>
      <c r="F7" s="2"/>
      <c r="G7" s="2"/>
      <c r="H7" s="2"/>
      <c r="I7" s="2"/>
      <c r="J7" s="2"/>
      <c r="K7" s="2"/>
      <c r="L7" s="2"/>
      <c r="M7" s="2"/>
      <c r="N7" s="2"/>
      <c r="O7" s="2"/>
      <c r="P7" s="2"/>
      <c r="Q7" s="2"/>
      <c r="R7" s="2"/>
      <c r="S7" s="2"/>
      <c r="T7" s="2"/>
      <c r="U7" s="2"/>
      <c r="V7" s="2"/>
      <c r="W7" s="2"/>
      <c r="X7" s="2"/>
      <c r="Y7" s="2"/>
      <c r="Z7" s="2"/>
    </row>
    <row r="8" spans="1:26" ht="18.75" customHeight="1" x14ac:dyDescent="0.3">
      <c r="A8" s="31" t="s">
        <v>3</v>
      </c>
      <c r="B8" s="2"/>
      <c r="C8" s="2"/>
      <c r="D8" s="2"/>
      <c r="E8" s="2"/>
      <c r="F8" s="149"/>
      <c r="G8" s="151"/>
      <c r="H8" s="178">
        <v>45</v>
      </c>
      <c r="I8" s="149"/>
      <c r="J8" s="2"/>
      <c r="K8" s="2"/>
      <c r="L8" s="2"/>
      <c r="M8" s="2"/>
      <c r="N8" s="2"/>
      <c r="O8" s="2"/>
      <c r="P8" s="2"/>
      <c r="Q8" s="2"/>
      <c r="R8" s="2"/>
      <c r="S8" s="2"/>
      <c r="T8" s="2"/>
      <c r="U8" s="2"/>
      <c r="V8" s="2"/>
      <c r="W8" s="2"/>
      <c r="X8" s="2"/>
      <c r="Y8" s="2"/>
      <c r="Z8" s="2"/>
    </row>
    <row r="9" spans="1:26" s="48" customFormat="1" ht="18.75" customHeight="1" x14ac:dyDescent="0.3">
      <c r="A9" s="31"/>
      <c r="B9" s="31"/>
      <c r="C9" s="31"/>
      <c r="D9" s="31"/>
      <c r="E9" s="31"/>
      <c r="F9" s="84"/>
      <c r="G9" s="31"/>
      <c r="H9" s="31"/>
      <c r="I9" s="31"/>
      <c r="J9" s="31"/>
      <c r="K9" s="31"/>
      <c r="L9" s="31"/>
      <c r="M9" s="31"/>
      <c r="N9" s="31"/>
      <c r="O9" s="31"/>
      <c r="P9" s="31"/>
      <c r="Q9" s="31"/>
      <c r="R9" s="31"/>
      <c r="S9" s="31"/>
      <c r="T9" s="31"/>
      <c r="U9" s="31"/>
      <c r="V9" s="31"/>
      <c r="W9" s="31"/>
      <c r="X9" s="31"/>
      <c r="Y9" s="31"/>
      <c r="Z9" s="31"/>
    </row>
    <row r="10" spans="1:26" s="48" customFormat="1" ht="18.75" customHeight="1" x14ac:dyDescent="0.3">
      <c r="A10" s="116" t="s">
        <v>4</v>
      </c>
      <c r="B10" s="120"/>
      <c r="C10" s="120"/>
      <c r="D10" s="120"/>
      <c r="E10" s="120"/>
      <c r="F10" s="121"/>
      <c r="G10" s="120"/>
      <c r="H10" s="120"/>
      <c r="I10" s="120"/>
      <c r="J10" s="31"/>
      <c r="K10" s="31"/>
      <c r="L10" s="31"/>
      <c r="M10" s="31"/>
      <c r="N10" s="31"/>
      <c r="O10" s="31"/>
      <c r="P10" s="31"/>
      <c r="Q10" s="31"/>
      <c r="R10" s="31"/>
      <c r="S10" s="31"/>
      <c r="T10" s="31"/>
      <c r="U10" s="31"/>
      <c r="V10" s="31"/>
      <c r="W10" s="31"/>
      <c r="X10" s="31"/>
      <c r="Y10" s="31"/>
      <c r="Z10" s="31"/>
    </row>
    <row r="11" spans="1:26" ht="18.75" customHeight="1" x14ac:dyDescent="0.3">
      <c r="A11" s="2"/>
      <c r="B11" s="2"/>
      <c r="C11" s="2"/>
      <c r="D11" s="2"/>
      <c r="E11" s="2"/>
      <c r="F11" s="2"/>
      <c r="G11" s="2"/>
      <c r="H11" s="2"/>
      <c r="I11" s="5" t="s">
        <v>5</v>
      </c>
      <c r="J11" s="2"/>
      <c r="K11" s="2"/>
      <c r="L11" s="2"/>
      <c r="M11" s="2"/>
      <c r="N11" s="2"/>
      <c r="O11" s="2"/>
      <c r="P11" s="2"/>
      <c r="Q11" s="2"/>
      <c r="R11" s="2"/>
      <c r="S11" s="2"/>
      <c r="T11" s="2"/>
      <c r="U11" s="2"/>
      <c r="V11" s="2"/>
      <c r="W11" s="2"/>
      <c r="X11" s="2"/>
      <c r="Y11" s="2"/>
      <c r="Z11" s="2"/>
    </row>
    <row r="12" spans="1:26" ht="18.75" customHeight="1" x14ac:dyDescent="0.3">
      <c r="B12" s="1"/>
      <c r="C12" s="1"/>
      <c r="D12" s="2"/>
      <c r="E12" s="2"/>
      <c r="F12" s="2"/>
      <c r="G12" s="2"/>
      <c r="H12" s="2"/>
      <c r="I12" s="4">
        <f>F14+F15+F16+F17+F18</f>
        <v>4400</v>
      </c>
      <c r="J12" s="2"/>
      <c r="K12" s="2"/>
      <c r="L12" s="2"/>
      <c r="M12" s="2"/>
      <c r="N12" s="2"/>
      <c r="O12" s="2"/>
      <c r="P12" s="2"/>
      <c r="Q12" s="2"/>
      <c r="R12" s="2"/>
      <c r="S12" s="2"/>
      <c r="T12" s="2"/>
      <c r="U12" s="2"/>
      <c r="V12" s="2"/>
      <c r="W12" s="2"/>
      <c r="X12" s="2"/>
      <c r="Y12" s="2"/>
      <c r="Z12" s="2"/>
    </row>
    <row r="13" spans="1:26" ht="18.75" customHeight="1" x14ac:dyDescent="0.3">
      <c r="A13" s="3" t="s">
        <v>6</v>
      </c>
      <c r="B13" s="5" t="s">
        <v>7</v>
      </c>
      <c r="C13" s="5" t="s">
        <v>8</v>
      </c>
      <c r="D13" s="5" t="s">
        <v>9</v>
      </c>
      <c r="E13" s="5" t="s">
        <v>10</v>
      </c>
      <c r="F13" s="5" t="s">
        <v>11</v>
      </c>
      <c r="G13" s="5" t="s">
        <v>12</v>
      </c>
      <c r="H13" s="327" t="s">
        <v>13</v>
      </c>
      <c r="I13" s="5" t="s">
        <v>14</v>
      </c>
      <c r="J13" s="2"/>
      <c r="K13" s="2"/>
      <c r="L13" s="2"/>
      <c r="M13" s="2"/>
      <c r="N13" s="2"/>
      <c r="O13" s="2"/>
      <c r="P13" s="2"/>
      <c r="Q13" s="2"/>
      <c r="R13" s="2"/>
      <c r="S13" s="2"/>
      <c r="T13" s="2"/>
      <c r="U13" s="2"/>
      <c r="V13" s="2"/>
      <c r="W13" s="2"/>
      <c r="X13" s="2"/>
      <c r="Y13" s="2"/>
      <c r="Z13" s="2"/>
    </row>
    <row r="14" spans="1:26" ht="18.75" customHeight="1" x14ac:dyDescent="0.3">
      <c r="A14" s="337" t="s">
        <v>15</v>
      </c>
      <c r="B14" s="51">
        <v>40</v>
      </c>
      <c r="C14" s="51">
        <v>65</v>
      </c>
      <c r="D14" s="3" t="s">
        <v>16</v>
      </c>
      <c r="E14" s="52">
        <v>2.75</v>
      </c>
      <c r="F14" s="6">
        <f>(C14*B14)</f>
        <v>2600</v>
      </c>
      <c r="G14" s="16">
        <f t="shared" ref="G14:G18" si="0">E14*F14</f>
        <v>7150</v>
      </c>
      <c r="H14" s="11">
        <f>G14/$H$8</f>
        <v>158.88888888888889</v>
      </c>
      <c r="I14" s="12">
        <f>G14/$I$12</f>
        <v>1.625</v>
      </c>
      <c r="J14" s="2"/>
      <c r="K14" s="2"/>
      <c r="L14" s="2"/>
      <c r="M14" s="2"/>
      <c r="N14" s="2"/>
      <c r="O14" s="2"/>
      <c r="P14" s="2"/>
      <c r="Q14" s="2"/>
      <c r="R14" s="2"/>
      <c r="S14" s="2"/>
      <c r="T14" s="2"/>
      <c r="U14" s="2"/>
      <c r="V14" s="2"/>
      <c r="W14" s="2"/>
      <c r="X14" s="2"/>
      <c r="Y14" s="2"/>
      <c r="Z14" s="2"/>
    </row>
    <row r="15" spans="1:26" ht="18.75" customHeight="1" x14ac:dyDescent="0.3">
      <c r="A15" s="337" t="s">
        <v>17</v>
      </c>
      <c r="B15" s="51">
        <v>30</v>
      </c>
      <c r="C15" s="51">
        <v>60</v>
      </c>
      <c r="D15" s="203" t="s">
        <v>16</v>
      </c>
      <c r="E15" s="52">
        <v>2.9</v>
      </c>
      <c r="F15" s="6">
        <f>(C15*B15)</f>
        <v>1800</v>
      </c>
      <c r="G15" s="16">
        <f t="shared" si="0"/>
        <v>5220</v>
      </c>
      <c r="H15" s="11">
        <f t="shared" ref="H15:H17" si="1">G15/$H$8</f>
        <v>116</v>
      </c>
      <c r="I15" s="12">
        <f t="shared" ref="I15:I17" si="2">G15/$I$12</f>
        <v>1.1863636363636363</v>
      </c>
      <c r="J15" s="2"/>
      <c r="K15" s="2"/>
      <c r="L15" s="2"/>
      <c r="M15" s="2"/>
      <c r="N15" s="2"/>
      <c r="O15" s="2"/>
      <c r="P15" s="2"/>
      <c r="Q15" s="2"/>
      <c r="R15" s="2"/>
      <c r="S15" s="2"/>
      <c r="T15" s="2"/>
      <c r="U15" s="2"/>
      <c r="V15" s="2"/>
      <c r="W15" s="2"/>
      <c r="X15" s="2"/>
      <c r="Y15" s="2"/>
      <c r="Z15" s="2"/>
    </row>
    <row r="16" spans="1:26" ht="18.75" customHeight="1" x14ac:dyDescent="0.3">
      <c r="A16" s="338"/>
      <c r="B16" s="51"/>
      <c r="C16" s="51"/>
      <c r="D16" s="3"/>
      <c r="E16" s="52"/>
      <c r="F16" s="6">
        <f>(C16*B16)</f>
        <v>0</v>
      </c>
      <c r="G16" s="16">
        <f t="shared" si="0"/>
        <v>0</v>
      </c>
      <c r="H16" s="11">
        <f t="shared" si="1"/>
        <v>0</v>
      </c>
      <c r="I16" s="12">
        <f t="shared" si="2"/>
        <v>0</v>
      </c>
      <c r="J16" s="2"/>
      <c r="K16" s="2"/>
      <c r="L16" s="2"/>
      <c r="M16" s="2"/>
      <c r="N16" s="2"/>
      <c r="O16" s="2"/>
      <c r="P16" s="2"/>
      <c r="Q16" s="2"/>
      <c r="R16" s="2"/>
      <c r="S16" s="2"/>
      <c r="T16" s="2"/>
      <c r="U16" s="2"/>
      <c r="V16" s="2"/>
      <c r="W16" s="2"/>
      <c r="X16" s="2"/>
      <c r="Y16" s="2"/>
      <c r="Z16" s="2"/>
    </row>
    <row r="17" spans="1:26" ht="18.75" customHeight="1" x14ac:dyDescent="0.3">
      <c r="A17" s="338"/>
      <c r="B17" s="51"/>
      <c r="C17" s="51"/>
      <c r="D17" s="3"/>
      <c r="E17" s="52"/>
      <c r="F17" s="6">
        <f>(C17*B17)</f>
        <v>0</v>
      </c>
      <c r="G17" s="16">
        <f t="shared" si="0"/>
        <v>0</v>
      </c>
      <c r="H17" s="11">
        <f t="shared" si="1"/>
        <v>0</v>
      </c>
      <c r="I17" s="12">
        <f t="shared" si="2"/>
        <v>0</v>
      </c>
      <c r="J17" s="2"/>
      <c r="K17" s="2"/>
      <c r="L17" s="2"/>
      <c r="M17" s="2"/>
      <c r="N17" s="2"/>
      <c r="O17" s="2"/>
      <c r="P17" s="2"/>
      <c r="Q17" s="2"/>
      <c r="R17" s="2"/>
      <c r="S17" s="2"/>
      <c r="T17" s="2"/>
      <c r="U17" s="2"/>
      <c r="V17" s="2"/>
      <c r="W17" s="2"/>
      <c r="X17" s="2"/>
      <c r="Y17" s="2"/>
      <c r="Z17" s="2"/>
    </row>
    <row r="18" spans="1:26" ht="18.75" customHeight="1" x14ac:dyDescent="0.3">
      <c r="A18" s="338"/>
      <c r="B18" s="51"/>
      <c r="C18" s="51"/>
      <c r="D18" s="3"/>
      <c r="E18" s="52"/>
      <c r="F18" s="6">
        <f>(C18*B18)</f>
        <v>0</v>
      </c>
      <c r="G18" s="16">
        <f t="shared" si="0"/>
        <v>0</v>
      </c>
      <c r="H18" s="11">
        <f t="shared" ref="H18:H24" si="3">G18/$H$8</f>
        <v>0</v>
      </c>
      <c r="I18" s="12">
        <f>G18/I12</f>
        <v>0</v>
      </c>
      <c r="J18" s="2"/>
      <c r="K18" s="2"/>
      <c r="L18" s="2"/>
      <c r="M18" s="2"/>
      <c r="N18" s="2"/>
      <c r="O18" s="2"/>
      <c r="P18" s="2"/>
      <c r="Q18" s="2"/>
      <c r="R18" s="2"/>
      <c r="S18" s="2"/>
      <c r="T18" s="2"/>
      <c r="U18" s="2"/>
      <c r="V18" s="2"/>
      <c r="W18" s="2"/>
      <c r="X18" s="2"/>
      <c r="Y18" s="2"/>
      <c r="Z18" s="2"/>
    </row>
    <row r="19" spans="1:26" ht="18.75" customHeight="1" x14ac:dyDescent="0.3">
      <c r="A19" s="3" t="s">
        <v>18</v>
      </c>
      <c r="B19" s="51">
        <v>5</v>
      </c>
      <c r="C19" s="27"/>
      <c r="D19" s="19"/>
      <c r="E19" s="42"/>
      <c r="F19" s="20"/>
      <c r="G19" s="53">
        <v>720</v>
      </c>
      <c r="H19" s="11">
        <f t="shared" si="3"/>
        <v>16</v>
      </c>
      <c r="I19" s="12">
        <f>G19/I12</f>
        <v>0.16363636363636364</v>
      </c>
      <c r="J19" s="2"/>
      <c r="K19" s="2"/>
      <c r="L19" s="2"/>
      <c r="M19" s="2"/>
      <c r="N19" s="2"/>
      <c r="O19" s="2"/>
      <c r="P19" s="2"/>
      <c r="Q19" s="2"/>
      <c r="R19" s="2"/>
      <c r="S19" s="2"/>
      <c r="T19" s="2"/>
      <c r="U19" s="2"/>
      <c r="V19" s="2"/>
      <c r="W19" s="2"/>
      <c r="X19" s="2"/>
      <c r="Y19" s="2"/>
      <c r="Z19" s="2"/>
    </row>
    <row r="20" spans="1:26" ht="18.75" customHeight="1" x14ac:dyDescent="0.3">
      <c r="A20" s="3" t="s">
        <v>19</v>
      </c>
      <c r="B20" s="51">
        <v>1</v>
      </c>
      <c r="C20" s="27"/>
      <c r="D20" s="19"/>
      <c r="E20" s="42"/>
      <c r="F20" s="20"/>
      <c r="G20" s="53">
        <v>198</v>
      </c>
      <c r="H20" s="11">
        <f t="shared" si="3"/>
        <v>4.4000000000000004</v>
      </c>
      <c r="I20" s="12">
        <f>G20/I12</f>
        <v>4.4999999999999998E-2</v>
      </c>
      <c r="J20" s="2"/>
      <c r="K20" s="2"/>
      <c r="L20" s="2"/>
      <c r="M20" s="2"/>
      <c r="N20" s="2"/>
      <c r="O20" s="2"/>
      <c r="P20" s="2"/>
      <c r="Q20" s="2"/>
      <c r="R20" s="2"/>
      <c r="S20" s="2"/>
      <c r="T20" s="2"/>
      <c r="U20" s="2"/>
      <c r="V20" s="2"/>
      <c r="W20" s="2"/>
      <c r="X20" s="2"/>
      <c r="Y20" s="2"/>
      <c r="Z20" s="2"/>
    </row>
    <row r="21" spans="1:26" ht="18.75" customHeight="1" x14ac:dyDescent="0.3">
      <c r="A21" s="58"/>
      <c r="B21" s="197" t="s">
        <v>20</v>
      </c>
      <c r="C21" s="128" t="s">
        <v>21</v>
      </c>
      <c r="D21" s="129"/>
      <c r="E21" s="196" t="s">
        <v>10</v>
      </c>
      <c r="F21" s="130" t="s">
        <v>22</v>
      </c>
      <c r="G21" s="201"/>
      <c r="H21" s="202"/>
      <c r="I21" s="202"/>
      <c r="J21" s="2"/>
      <c r="K21" s="2"/>
      <c r="L21" s="2"/>
      <c r="M21" s="2"/>
      <c r="N21" s="2"/>
      <c r="O21" s="2"/>
      <c r="P21" s="2"/>
      <c r="Q21" s="2"/>
      <c r="R21" s="2"/>
      <c r="S21" s="2"/>
      <c r="T21" s="2"/>
      <c r="U21" s="2"/>
      <c r="V21" s="2"/>
      <c r="W21" s="2"/>
      <c r="X21" s="2"/>
      <c r="Y21" s="2"/>
      <c r="Z21" s="2"/>
    </row>
    <row r="22" spans="1:26" ht="18.75" customHeight="1" x14ac:dyDescent="0.3">
      <c r="A22" s="339" t="s">
        <v>23</v>
      </c>
      <c r="B22" s="192">
        <v>20</v>
      </c>
      <c r="C22" s="60">
        <v>6</v>
      </c>
      <c r="D22" s="129" t="s">
        <v>16</v>
      </c>
      <c r="E22" s="194">
        <v>15</v>
      </c>
      <c r="F22" s="199">
        <f>B22*C22</f>
        <v>120</v>
      </c>
      <c r="G22" s="200">
        <f>E22*F22</f>
        <v>1800</v>
      </c>
      <c r="H22" s="11">
        <f>G22/H8</f>
        <v>40</v>
      </c>
      <c r="I22" s="12">
        <f>G22/I12</f>
        <v>0.40909090909090912</v>
      </c>
      <c r="J22" s="2"/>
      <c r="K22" s="2"/>
      <c r="L22" s="2"/>
      <c r="M22" s="2"/>
      <c r="N22" s="2"/>
      <c r="O22" s="2"/>
      <c r="P22" s="2"/>
      <c r="Q22" s="2"/>
      <c r="R22" s="2"/>
      <c r="S22" s="2"/>
      <c r="T22" s="2"/>
      <c r="U22" s="2"/>
      <c r="V22" s="2"/>
      <c r="W22" s="2"/>
      <c r="X22" s="2"/>
      <c r="Y22" s="2"/>
      <c r="Z22" s="2"/>
    </row>
    <row r="23" spans="1:26" ht="18.75" customHeight="1" x14ac:dyDescent="0.3">
      <c r="A23" s="339" t="s">
        <v>24</v>
      </c>
      <c r="B23" s="192">
        <v>20</v>
      </c>
      <c r="C23" s="60">
        <v>6</v>
      </c>
      <c r="D23" s="129" t="s">
        <v>16</v>
      </c>
      <c r="E23" s="194">
        <v>0.05</v>
      </c>
      <c r="F23" s="199">
        <f>B23*C23</f>
        <v>120</v>
      </c>
      <c r="G23" s="200">
        <f>E23*F23</f>
        <v>6</v>
      </c>
      <c r="H23" s="11">
        <f>G23/H8</f>
        <v>0.13333333333333333</v>
      </c>
      <c r="I23" s="12">
        <f>G23/I12</f>
        <v>1.3636363636363637E-3</v>
      </c>
      <c r="J23" s="2"/>
      <c r="K23" s="2"/>
      <c r="L23" s="2"/>
      <c r="M23" s="2"/>
      <c r="N23" s="2"/>
      <c r="O23" s="2"/>
      <c r="P23" s="2"/>
      <c r="Q23" s="2"/>
      <c r="R23" s="2"/>
      <c r="S23" s="2"/>
      <c r="T23" s="2"/>
      <c r="U23" s="2"/>
      <c r="V23" s="2"/>
      <c r="W23" s="2"/>
      <c r="X23" s="2"/>
      <c r="Y23" s="2"/>
      <c r="Z23" s="2"/>
    </row>
    <row r="24" spans="1:26" ht="18.75" customHeight="1" x14ac:dyDescent="0.3">
      <c r="A24" s="132" t="s">
        <v>25</v>
      </c>
      <c r="B24" s="61">
        <v>0</v>
      </c>
      <c r="C24" s="198"/>
      <c r="D24" s="129"/>
      <c r="E24" s="2"/>
      <c r="F24" s="130"/>
      <c r="G24" s="62">
        <v>0</v>
      </c>
      <c r="H24" s="11">
        <f t="shared" si="3"/>
        <v>0</v>
      </c>
      <c r="I24" s="12">
        <f>G24/I12</f>
        <v>0</v>
      </c>
      <c r="J24" s="2"/>
      <c r="K24" s="2"/>
      <c r="L24" s="2"/>
      <c r="M24" s="2"/>
      <c r="N24" s="2"/>
      <c r="O24" s="2"/>
      <c r="P24" s="2"/>
      <c r="Q24" s="2"/>
      <c r="R24" s="2"/>
      <c r="S24" s="2"/>
      <c r="T24" s="2"/>
      <c r="U24" s="2"/>
      <c r="V24" s="2"/>
      <c r="W24" s="2"/>
      <c r="X24" s="2"/>
      <c r="Y24" s="2"/>
      <c r="Z24" s="2"/>
    </row>
    <row r="25" spans="1:26" ht="18.75" customHeight="1" x14ac:dyDescent="0.3">
      <c r="A25" s="127" t="s">
        <v>26</v>
      </c>
      <c r="B25" s="127"/>
      <c r="C25" s="127"/>
      <c r="D25" s="127"/>
      <c r="E25" s="127"/>
      <c r="F25" s="133"/>
      <c r="G25" s="107">
        <f>SUM(G14:G24)</f>
        <v>15094</v>
      </c>
      <c r="H25" s="106">
        <f>SUM(H14:H24)</f>
        <v>335.42222222222222</v>
      </c>
      <c r="I25" s="15">
        <f>SUM(I14:I24)</f>
        <v>3.4304545454545456</v>
      </c>
      <c r="J25" s="1"/>
      <c r="K25" s="1"/>
      <c r="L25" s="1"/>
      <c r="M25" s="1"/>
      <c r="N25" s="1"/>
      <c r="O25" s="1"/>
      <c r="P25" s="1"/>
      <c r="Q25" s="1"/>
      <c r="R25" s="1"/>
      <c r="S25" s="1"/>
      <c r="T25" s="1"/>
      <c r="U25" s="1"/>
      <c r="V25" s="1"/>
      <c r="W25" s="1"/>
      <c r="X25" s="1"/>
      <c r="Y25" s="1"/>
      <c r="Z25" s="1"/>
    </row>
    <row r="26" spans="1:26" ht="18.75" customHeight="1" x14ac:dyDescent="0.3">
      <c r="A26" s="2"/>
      <c r="B26" s="2"/>
      <c r="C26" s="2"/>
      <c r="D26" s="2"/>
      <c r="E26" s="2"/>
      <c r="F26" s="2"/>
      <c r="G26" s="2"/>
      <c r="H26" s="2"/>
      <c r="I26" s="2"/>
      <c r="J26" s="2"/>
      <c r="K26" s="2"/>
      <c r="L26" s="2"/>
      <c r="M26" s="2"/>
      <c r="N26" s="2"/>
      <c r="O26" s="2"/>
      <c r="P26" s="2"/>
      <c r="Q26" s="2"/>
      <c r="R26" s="2"/>
      <c r="S26" s="2"/>
      <c r="T26" s="2"/>
      <c r="U26" s="2"/>
      <c r="V26" s="2"/>
      <c r="W26" s="2"/>
      <c r="X26" s="2"/>
      <c r="Y26" s="2"/>
      <c r="Z26" s="2"/>
    </row>
    <row r="27" spans="1:26" ht="18.75" customHeight="1" x14ac:dyDescent="0.3">
      <c r="A27" s="116" t="s">
        <v>27</v>
      </c>
      <c r="B27" s="115"/>
      <c r="C27" s="115"/>
      <c r="D27" s="115"/>
      <c r="E27" s="115"/>
      <c r="F27" s="115"/>
      <c r="G27" s="115"/>
      <c r="H27" s="115"/>
      <c r="I27" s="115"/>
      <c r="J27" s="2"/>
      <c r="K27" s="2"/>
      <c r="L27" s="2"/>
      <c r="M27" s="2"/>
      <c r="N27" s="2"/>
      <c r="O27" s="2"/>
      <c r="P27" s="2"/>
      <c r="Q27" s="2"/>
      <c r="R27" s="2"/>
      <c r="S27" s="2"/>
      <c r="T27" s="2"/>
      <c r="U27" s="2"/>
      <c r="V27" s="2"/>
      <c r="W27" s="2"/>
      <c r="X27" s="2"/>
      <c r="Y27" s="2"/>
      <c r="Z27" s="2"/>
    </row>
    <row r="28" spans="1:26" ht="18.75" customHeight="1" x14ac:dyDescent="0.3">
      <c r="A28" s="1"/>
      <c r="B28" s="2"/>
      <c r="C28" s="2"/>
      <c r="D28" s="2"/>
      <c r="E28" s="2"/>
      <c r="F28" s="2"/>
      <c r="G28" s="2"/>
      <c r="H28" s="2"/>
      <c r="I28" s="2"/>
      <c r="J28" s="2"/>
      <c r="K28" s="2"/>
      <c r="L28" s="2"/>
      <c r="M28" s="2"/>
      <c r="N28" s="2"/>
      <c r="O28" s="2"/>
      <c r="P28" s="2"/>
      <c r="Q28" s="2"/>
      <c r="R28" s="2"/>
      <c r="S28" s="2"/>
      <c r="T28" s="2"/>
      <c r="U28" s="2"/>
      <c r="V28" s="2"/>
      <c r="W28" s="2"/>
      <c r="X28" s="2"/>
      <c r="Y28" s="2"/>
      <c r="Z28" s="2"/>
    </row>
    <row r="29" spans="1:26" ht="18.75" customHeight="1" x14ac:dyDescent="0.3">
      <c r="A29" s="1"/>
      <c r="B29" s="2"/>
      <c r="C29" s="2"/>
      <c r="D29" s="2"/>
      <c r="E29" s="2"/>
      <c r="F29" s="2"/>
      <c r="G29" s="2"/>
      <c r="H29" s="2"/>
      <c r="I29" s="2"/>
      <c r="J29" s="2"/>
      <c r="K29" s="2"/>
      <c r="L29" s="2"/>
      <c r="M29" s="2"/>
      <c r="N29" s="2"/>
      <c r="O29" s="2"/>
      <c r="P29" s="2"/>
      <c r="Q29" s="2"/>
      <c r="R29" s="2"/>
      <c r="S29" s="2"/>
      <c r="T29" s="2"/>
      <c r="U29" s="2"/>
      <c r="V29" s="2"/>
      <c r="W29" s="2"/>
      <c r="X29" s="2"/>
      <c r="Y29" s="2"/>
      <c r="Z29" s="2"/>
    </row>
    <row r="30" spans="1:26" ht="20.25" customHeight="1" x14ac:dyDescent="0.3">
      <c r="A30" s="119" t="s">
        <v>28</v>
      </c>
      <c r="B30" s="117"/>
      <c r="C30" s="118"/>
      <c r="D30" s="118"/>
      <c r="E30" s="118"/>
      <c r="F30" s="118"/>
      <c r="G30" s="118"/>
      <c r="H30" s="117"/>
      <c r="I30" s="117"/>
      <c r="J30" s="8"/>
      <c r="K30" s="8"/>
      <c r="L30" s="8"/>
      <c r="M30" s="8"/>
      <c r="N30" s="8"/>
      <c r="O30" s="8"/>
      <c r="P30" s="8"/>
      <c r="Q30" s="8"/>
      <c r="R30" s="8"/>
      <c r="S30" s="8"/>
      <c r="T30" s="8"/>
      <c r="U30" s="8"/>
      <c r="V30" s="8"/>
      <c r="W30" s="8"/>
      <c r="X30" s="8"/>
      <c r="Y30" s="8"/>
      <c r="Z30" s="8"/>
    </row>
    <row r="31" spans="1:26" ht="37.5" customHeight="1" x14ac:dyDescent="0.3">
      <c r="A31" s="9" t="s">
        <v>29</v>
      </c>
      <c r="B31" s="9"/>
      <c r="C31" s="10" t="s">
        <v>30</v>
      </c>
      <c r="D31" s="93" t="s">
        <v>31</v>
      </c>
      <c r="E31" s="93" t="s">
        <v>366</v>
      </c>
      <c r="F31" s="10"/>
      <c r="G31" s="93" t="s">
        <v>32</v>
      </c>
      <c r="H31" s="10" t="s">
        <v>13</v>
      </c>
      <c r="I31" s="10" t="s">
        <v>14</v>
      </c>
      <c r="J31" s="8"/>
      <c r="K31" s="8"/>
      <c r="L31" s="8"/>
      <c r="M31" s="8"/>
      <c r="N31" s="8"/>
      <c r="O31" s="8"/>
      <c r="P31" s="8"/>
      <c r="Q31" s="8"/>
      <c r="R31" s="8"/>
      <c r="S31" s="8"/>
      <c r="T31" s="8"/>
      <c r="U31" s="8"/>
      <c r="V31" s="8"/>
      <c r="W31" s="8"/>
      <c r="X31" s="8"/>
      <c r="Y31" s="8"/>
      <c r="Z31" s="8"/>
    </row>
    <row r="32" spans="1:26" ht="18.75" customHeight="1" x14ac:dyDescent="0.3">
      <c r="A32" s="51" t="s">
        <v>33</v>
      </c>
      <c r="B32" s="3"/>
      <c r="C32" s="51">
        <v>14</v>
      </c>
      <c r="D32" s="51" t="s">
        <v>34</v>
      </c>
      <c r="E32" s="52">
        <v>180</v>
      </c>
      <c r="F32" s="3"/>
      <c r="G32" s="16">
        <f t="shared" ref="G32:G41" si="4">C32*E32</f>
        <v>2520</v>
      </c>
      <c r="H32" s="11">
        <f t="shared" ref="H32:H41" si="5">G32/$H$8</f>
        <v>56</v>
      </c>
      <c r="I32" s="12">
        <f>G32/I12</f>
        <v>0.57272727272727275</v>
      </c>
      <c r="J32" s="2"/>
      <c r="K32" s="2"/>
      <c r="L32" s="2"/>
      <c r="M32" s="2"/>
      <c r="N32" s="2"/>
      <c r="O32" s="2"/>
      <c r="P32" s="2"/>
      <c r="Q32" s="2"/>
      <c r="R32" s="2"/>
      <c r="S32" s="2"/>
      <c r="T32" s="2"/>
      <c r="U32" s="2"/>
      <c r="V32" s="2"/>
      <c r="W32" s="2"/>
      <c r="X32" s="2"/>
      <c r="Y32" s="2"/>
      <c r="Z32" s="2"/>
    </row>
    <row r="33" spans="1:26" ht="18.75" customHeight="1" x14ac:dyDescent="0.3">
      <c r="A33" s="51" t="s">
        <v>35</v>
      </c>
      <c r="B33" s="3"/>
      <c r="C33" s="51">
        <v>11</v>
      </c>
      <c r="D33" s="51" t="s">
        <v>34</v>
      </c>
      <c r="E33" s="52">
        <v>145</v>
      </c>
      <c r="F33" s="3"/>
      <c r="G33" s="16">
        <f t="shared" si="4"/>
        <v>1595</v>
      </c>
      <c r="H33" s="11">
        <f t="shared" si="5"/>
        <v>35.444444444444443</v>
      </c>
      <c r="I33" s="12">
        <f>G33/I12</f>
        <v>0.36249999999999999</v>
      </c>
      <c r="J33" s="2"/>
      <c r="K33" s="2"/>
      <c r="L33" s="2"/>
      <c r="M33" s="2"/>
      <c r="N33" s="2"/>
      <c r="O33" s="2"/>
      <c r="P33" s="2"/>
      <c r="Q33" s="2"/>
      <c r="R33" s="2"/>
      <c r="S33" s="2"/>
      <c r="T33" s="2"/>
      <c r="U33" s="2"/>
      <c r="V33" s="2"/>
      <c r="W33" s="2"/>
      <c r="X33" s="2"/>
      <c r="Y33" s="2"/>
      <c r="Z33" s="2"/>
    </row>
    <row r="34" spans="1:26" ht="18.75" customHeight="1" x14ac:dyDescent="0.3">
      <c r="A34" s="316" t="s">
        <v>36</v>
      </c>
      <c r="B34" s="3"/>
      <c r="C34" s="51">
        <v>6</v>
      </c>
      <c r="D34" s="51" t="s">
        <v>34</v>
      </c>
      <c r="E34" s="52">
        <v>115</v>
      </c>
      <c r="F34" s="3"/>
      <c r="G34" s="16">
        <f t="shared" si="4"/>
        <v>690</v>
      </c>
      <c r="H34" s="11">
        <f t="shared" si="5"/>
        <v>15.333333333333334</v>
      </c>
      <c r="I34" s="12">
        <f>G34/I12</f>
        <v>0.15681818181818183</v>
      </c>
      <c r="J34" s="2"/>
      <c r="K34" s="2"/>
      <c r="L34" s="2"/>
      <c r="M34" s="2"/>
      <c r="N34" s="2"/>
      <c r="O34" s="2"/>
      <c r="P34" s="2"/>
      <c r="Q34" s="2"/>
      <c r="R34" s="2"/>
      <c r="S34" s="2"/>
      <c r="T34" s="2"/>
      <c r="U34" s="2"/>
      <c r="V34" s="2"/>
      <c r="W34" s="2"/>
      <c r="X34" s="2"/>
      <c r="Y34" s="2"/>
      <c r="Z34" s="2"/>
    </row>
    <row r="35" spans="1:26" ht="18.75" customHeight="1" x14ac:dyDescent="0.3">
      <c r="A35" s="51" t="s">
        <v>37</v>
      </c>
      <c r="B35" s="3"/>
      <c r="C35" s="51">
        <v>225</v>
      </c>
      <c r="D35" s="51" t="s">
        <v>38</v>
      </c>
      <c r="E35" s="52">
        <v>5</v>
      </c>
      <c r="F35" s="3"/>
      <c r="G35" s="16">
        <f t="shared" si="4"/>
        <v>1125</v>
      </c>
      <c r="H35" s="11">
        <f t="shared" si="5"/>
        <v>25</v>
      </c>
      <c r="I35" s="12">
        <f>G35/I12</f>
        <v>0.25568181818181818</v>
      </c>
      <c r="J35" s="2"/>
      <c r="K35" s="2"/>
      <c r="L35" s="2"/>
      <c r="M35" s="2"/>
      <c r="N35" s="2"/>
      <c r="O35" s="2"/>
      <c r="P35" s="2"/>
      <c r="Q35" s="2"/>
      <c r="R35" s="2"/>
      <c r="S35" s="2"/>
      <c r="T35" s="2"/>
      <c r="U35" s="2"/>
      <c r="V35" s="2"/>
      <c r="W35" s="2"/>
      <c r="X35" s="2"/>
      <c r="Y35" s="2"/>
      <c r="Z35" s="2"/>
    </row>
    <row r="36" spans="1:26" ht="18.75" customHeight="1" x14ac:dyDescent="0.3">
      <c r="A36" s="51" t="s">
        <v>39</v>
      </c>
      <c r="B36" s="3"/>
      <c r="C36" s="51">
        <v>0</v>
      </c>
      <c r="D36" s="51" t="s">
        <v>38</v>
      </c>
      <c r="E36" s="52">
        <v>4.75</v>
      </c>
      <c r="F36" s="3"/>
      <c r="G36" s="16">
        <f t="shared" si="4"/>
        <v>0</v>
      </c>
      <c r="H36" s="11">
        <f t="shared" si="5"/>
        <v>0</v>
      </c>
      <c r="I36" s="12">
        <f>G36/I12</f>
        <v>0</v>
      </c>
      <c r="J36" s="2"/>
      <c r="K36" s="2"/>
      <c r="L36" s="2"/>
      <c r="M36" s="2"/>
      <c r="N36" s="2"/>
      <c r="O36" s="2"/>
      <c r="P36" s="2"/>
      <c r="Q36" s="2"/>
      <c r="R36" s="2"/>
      <c r="S36" s="2"/>
      <c r="T36" s="2"/>
      <c r="U36" s="2"/>
      <c r="V36" s="2"/>
      <c r="W36" s="2"/>
      <c r="X36" s="2"/>
      <c r="Y36" s="2"/>
      <c r="Z36" s="2"/>
    </row>
    <row r="37" spans="1:26" ht="18.75" customHeight="1" x14ac:dyDescent="0.3">
      <c r="A37" s="51"/>
      <c r="B37" s="3"/>
      <c r="C37" s="51"/>
      <c r="D37" s="51"/>
      <c r="E37" s="52"/>
      <c r="F37" s="3"/>
      <c r="G37" s="16">
        <f t="shared" si="4"/>
        <v>0</v>
      </c>
      <c r="H37" s="11">
        <f t="shared" si="5"/>
        <v>0</v>
      </c>
      <c r="I37" s="12">
        <f>G37/I12</f>
        <v>0</v>
      </c>
      <c r="J37" s="2"/>
      <c r="K37" s="2"/>
      <c r="L37" s="2"/>
      <c r="M37" s="2"/>
      <c r="N37" s="2"/>
      <c r="O37" s="2"/>
      <c r="P37" s="2"/>
      <c r="Q37" s="2"/>
      <c r="R37" s="2"/>
      <c r="S37" s="2"/>
      <c r="T37" s="2"/>
      <c r="U37" s="2"/>
      <c r="V37" s="2"/>
      <c r="W37" s="2"/>
      <c r="X37" s="2"/>
      <c r="Y37" s="2"/>
      <c r="Z37" s="2"/>
    </row>
    <row r="38" spans="1:26" ht="18.75" customHeight="1" x14ac:dyDescent="0.3">
      <c r="A38" s="51"/>
      <c r="B38" s="3"/>
      <c r="C38" s="51"/>
      <c r="D38" s="51"/>
      <c r="E38" s="52"/>
      <c r="F38" s="3"/>
      <c r="G38" s="16">
        <f t="shared" si="4"/>
        <v>0</v>
      </c>
      <c r="H38" s="11">
        <f t="shared" si="5"/>
        <v>0</v>
      </c>
      <c r="I38" s="12">
        <f>G38/I12</f>
        <v>0</v>
      </c>
      <c r="J38" s="2"/>
      <c r="K38" s="2"/>
      <c r="L38" s="2"/>
      <c r="M38" s="2"/>
      <c r="N38" s="2"/>
      <c r="O38" s="2"/>
      <c r="P38" s="2"/>
      <c r="Q38" s="2"/>
      <c r="R38" s="2"/>
      <c r="S38" s="2"/>
      <c r="T38" s="2"/>
      <c r="U38" s="2"/>
      <c r="V38" s="2"/>
      <c r="W38" s="2"/>
      <c r="X38" s="2"/>
      <c r="Y38" s="2"/>
      <c r="Z38" s="2"/>
    </row>
    <row r="39" spans="1:26" ht="18.75" customHeight="1" x14ac:dyDescent="0.3">
      <c r="A39" s="51"/>
      <c r="B39" s="3"/>
      <c r="C39" s="51"/>
      <c r="D39" s="51"/>
      <c r="E39" s="52"/>
      <c r="F39" s="3"/>
      <c r="G39" s="16">
        <f t="shared" si="4"/>
        <v>0</v>
      </c>
      <c r="H39" s="11">
        <f t="shared" si="5"/>
        <v>0</v>
      </c>
      <c r="I39" s="12">
        <f>G39/I12</f>
        <v>0</v>
      </c>
      <c r="J39" s="2"/>
      <c r="K39" s="2"/>
      <c r="L39" s="2"/>
      <c r="M39" s="2"/>
      <c r="N39" s="2"/>
      <c r="O39" s="2"/>
      <c r="P39" s="2"/>
      <c r="Q39" s="2"/>
      <c r="R39" s="2"/>
      <c r="S39" s="2"/>
      <c r="T39" s="2"/>
      <c r="U39" s="2"/>
      <c r="V39" s="2"/>
      <c r="W39" s="2"/>
      <c r="X39" s="2"/>
      <c r="Y39" s="2"/>
      <c r="Z39" s="2"/>
    </row>
    <row r="40" spans="1:26" ht="18.75" customHeight="1" x14ac:dyDescent="0.3">
      <c r="A40" s="51"/>
      <c r="B40" s="3"/>
      <c r="C40" s="51"/>
      <c r="D40" s="51"/>
      <c r="E40" s="52"/>
      <c r="F40" s="3"/>
      <c r="G40" s="16">
        <f t="shared" si="4"/>
        <v>0</v>
      </c>
      <c r="H40" s="11">
        <f t="shared" si="5"/>
        <v>0</v>
      </c>
      <c r="I40" s="12">
        <f>G40/I12</f>
        <v>0</v>
      </c>
      <c r="J40" s="2"/>
      <c r="K40" s="2"/>
      <c r="L40" s="2"/>
      <c r="M40" s="2"/>
      <c r="N40" s="2"/>
      <c r="O40" s="2"/>
      <c r="P40" s="2"/>
      <c r="Q40" s="2"/>
      <c r="R40" s="2"/>
      <c r="S40" s="2"/>
      <c r="T40" s="2"/>
      <c r="U40" s="2"/>
      <c r="V40" s="2"/>
      <c r="W40" s="2"/>
      <c r="X40" s="2"/>
      <c r="Y40" s="2"/>
      <c r="Z40" s="2"/>
    </row>
    <row r="41" spans="1:26" ht="18.75" customHeight="1" x14ac:dyDescent="0.3">
      <c r="A41" s="61"/>
      <c r="B41" s="58"/>
      <c r="C41" s="61"/>
      <c r="D41" s="61"/>
      <c r="E41" s="62"/>
      <c r="F41" s="58"/>
      <c r="G41" s="16">
        <f t="shared" si="4"/>
        <v>0</v>
      </c>
      <c r="H41" s="11">
        <f t="shared" si="5"/>
        <v>0</v>
      </c>
      <c r="I41" s="12">
        <f>G41/I12</f>
        <v>0</v>
      </c>
      <c r="J41" s="2"/>
      <c r="K41" s="2"/>
      <c r="L41" s="2"/>
      <c r="M41" s="2"/>
      <c r="N41" s="2"/>
      <c r="O41" s="2"/>
      <c r="P41" s="2"/>
      <c r="Q41" s="2"/>
      <c r="R41" s="2"/>
      <c r="S41" s="2"/>
      <c r="T41" s="2"/>
      <c r="U41" s="2"/>
      <c r="V41" s="2"/>
      <c r="W41" s="2"/>
      <c r="X41" s="2"/>
      <c r="Y41" s="2"/>
      <c r="Z41" s="2"/>
    </row>
    <row r="42" spans="1:26" ht="18.75" customHeight="1" x14ac:dyDescent="0.3">
      <c r="A42" s="127" t="s">
        <v>40</v>
      </c>
      <c r="B42" s="127"/>
      <c r="C42" s="127"/>
      <c r="D42" s="127"/>
      <c r="E42" s="127"/>
      <c r="F42" s="131"/>
      <c r="G42" s="13">
        <f t="shared" ref="G42:I42" si="6">SUM(G32:G41)</f>
        <v>5930</v>
      </c>
      <c r="H42" s="14">
        <f>SUM(H32:H41)</f>
        <v>131.77777777777777</v>
      </c>
      <c r="I42" s="15">
        <f t="shared" si="6"/>
        <v>1.3477272727272727</v>
      </c>
      <c r="J42" s="1"/>
      <c r="K42" s="1"/>
      <c r="L42" s="1"/>
      <c r="M42" s="1"/>
      <c r="N42" s="1"/>
      <c r="O42" s="1"/>
      <c r="P42" s="1"/>
      <c r="Q42" s="1"/>
      <c r="R42" s="1"/>
      <c r="S42" s="1"/>
      <c r="T42" s="1"/>
      <c r="U42" s="1"/>
      <c r="V42" s="1"/>
      <c r="W42" s="1"/>
      <c r="X42" s="1"/>
      <c r="Y42" s="1"/>
      <c r="Z42" s="1"/>
    </row>
    <row r="43" spans="1:26" ht="18.75" customHeight="1" x14ac:dyDescent="0.3">
      <c r="A43" s="1"/>
      <c r="B43" s="311" t="s">
        <v>41</v>
      </c>
      <c r="C43" s="326"/>
      <c r="D43" s="326"/>
      <c r="E43" s="326"/>
      <c r="F43" s="326"/>
      <c r="G43" s="310"/>
      <c r="H43" s="310"/>
      <c r="I43" s="32"/>
      <c r="J43" s="1"/>
      <c r="K43" s="1"/>
      <c r="L43" s="1"/>
      <c r="M43" s="1"/>
      <c r="N43" s="1"/>
      <c r="O43" s="1"/>
      <c r="P43" s="1"/>
      <c r="Q43" s="1"/>
      <c r="R43" s="1"/>
      <c r="S43" s="1"/>
      <c r="T43" s="1"/>
      <c r="U43" s="1"/>
      <c r="V43" s="1"/>
      <c r="W43" s="1"/>
      <c r="X43" s="1"/>
      <c r="Y43" s="1"/>
      <c r="Z43" s="1"/>
    </row>
    <row r="44" spans="1:26" ht="18.75" customHeight="1" x14ac:dyDescent="0.3">
      <c r="A44" s="119" t="s">
        <v>42</v>
      </c>
      <c r="B44" s="117"/>
      <c r="C44" s="118"/>
      <c r="D44" s="118"/>
      <c r="E44" s="118"/>
      <c r="F44" s="118"/>
      <c r="G44" s="118"/>
      <c r="H44" s="117"/>
      <c r="I44" s="117"/>
      <c r="J44" s="8"/>
      <c r="K44" s="8"/>
      <c r="L44" s="8"/>
      <c r="M44" s="8"/>
      <c r="N44" s="8"/>
      <c r="O44" s="8"/>
      <c r="P44" s="8"/>
      <c r="Q44" s="8"/>
      <c r="R44" s="8"/>
      <c r="S44" s="8"/>
      <c r="T44" s="8"/>
      <c r="U44" s="8"/>
      <c r="V44" s="8"/>
      <c r="W44" s="8"/>
      <c r="X44" s="8"/>
      <c r="Y44" s="8"/>
      <c r="Z44" s="8"/>
    </row>
    <row r="45" spans="1:26" ht="18.75" customHeight="1" x14ac:dyDescent="0.3">
      <c r="A45" s="3" t="s">
        <v>29</v>
      </c>
      <c r="B45" s="3"/>
      <c r="C45" s="5" t="s">
        <v>30</v>
      </c>
      <c r="D45" s="327" t="s">
        <v>31</v>
      </c>
      <c r="E45" s="327" t="s">
        <v>367</v>
      </c>
      <c r="F45" s="5"/>
      <c r="G45" s="327" t="s">
        <v>32</v>
      </c>
      <c r="H45" s="5" t="s">
        <v>13</v>
      </c>
      <c r="I45" s="3" t="s">
        <v>14</v>
      </c>
      <c r="J45" s="2"/>
      <c r="K45" s="2"/>
      <c r="L45" s="2"/>
      <c r="M45" s="2"/>
      <c r="N45" s="2"/>
      <c r="O45" s="2"/>
      <c r="P45" s="2"/>
      <c r="Q45" s="2"/>
      <c r="R45" s="2"/>
      <c r="S45" s="2"/>
      <c r="T45" s="2"/>
      <c r="U45" s="2"/>
      <c r="V45" s="2"/>
      <c r="W45" s="2"/>
      <c r="X45" s="2"/>
      <c r="Y45" s="2"/>
      <c r="Z45" s="2"/>
    </row>
    <row r="46" spans="1:26" ht="18.75" customHeight="1" x14ac:dyDescent="0.3">
      <c r="A46" s="51" t="s">
        <v>43</v>
      </c>
      <c r="B46" s="3"/>
      <c r="C46" s="51">
        <v>4</v>
      </c>
      <c r="D46" s="51" t="s">
        <v>44</v>
      </c>
      <c r="E46" s="52">
        <v>25</v>
      </c>
      <c r="F46" s="3"/>
      <c r="G46" s="16">
        <f t="shared" ref="G46:G55" si="7">C46*E46</f>
        <v>100</v>
      </c>
      <c r="H46" s="11">
        <f t="shared" ref="H46:H55" si="8">G46/$H$8</f>
        <v>2.2222222222222223</v>
      </c>
      <c r="I46" s="12">
        <f>G46/I12</f>
        <v>2.2727272727272728E-2</v>
      </c>
      <c r="J46" s="2"/>
      <c r="K46" s="2"/>
      <c r="L46" s="2"/>
      <c r="M46" s="2"/>
      <c r="N46" s="2"/>
      <c r="O46" s="2"/>
      <c r="P46" s="2"/>
      <c r="Q46" s="2"/>
      <c r="R46" s="2"/>
      <c r="S46" s="2"/>
      <c r="T46" s="2"/>
      <c r="U46" s="2"/>
      <c r="V46" s="2"/>
      <c r="W46" s="2"/>
      <c r="X46" s="2"/>
      <c r="Y46" s="2"/>
      <c r="Z46" s="2"/>
    </row>
    <row r="47" spans="1:26" ht="18.75" customHeight="1" x14ac:dyDescent="0.3">
      <c r="A47" s="316" t="s">
        <v>45</v>
      </c>
      <c r="B47" s="3"/>
      <c r="C47" s="51">
        <v>60</v>
      </c>
      <c r="D47" s="316" t="s">
        <v>44</v>
      </c>
      <c r="E47" s="52">
        <v>17.940000000000001</v>
      </c>
      <c r="F47" s="3"/>
      <c r="G47" s="16">
        <f t="shared" si="7"/>
        <v>1076.4000000000001</v>
      </c>
      <c r="H47" s="11">
        <f t="shared" si="8"/>
        <v>23.92</v>
      </c>
      <c r="I47" s="12">
        <f>G47/I12</f>
        <v>0.24463636363636365</v>
      </c>
      <c r="J47" s="2"/>
      <c r="K47" s="2"/>
      <c r="L47" s="2"/>
      <c r="M47" s="2"/>
      <c r="N47" s="2"/>
      <c r="O47" s="2"/>
      <c r="P47" s="2"/>
      <c r="Q47" s="2"/>
      <c r="R47" s="2"/>
      <c r="S47" s="2"/>
      <c r="T47" s="2"/>
      <c r="U47" s="2"/>
      <c r="V47" s="2"/>
      <c r="W47" s="2"/>
      <c r="X47" s="2"/>
      <c r="Y47" s="2"/>
      <c r="Z47" s="2"/>
    </row>
    <row r="48" spans="1:26" ht="18.75" customHeight="1" x14ac:dyDescent="0.3">
      <c r="A48" s="316" t="s">
        <v>46</v>
      </c>
      <c r="B48" s="3"/>
      <c r="C48" s="51">
        <v>40</v>
      </c>
      <c r="D48" s="316" t="s">
        <v>44</v>
      </c>
      <c r="E48" s="52">
        <v>23.08</v>
      </c>
      <c r="F48" s="3"/>
      <c r="G48" s="16">
        <f t="shared" si="7"/>
        <v>923.19999999999993</v>
      </c>
      <c r="H48" s="11">
        <f t="shared" si="8"/>
        <v>20.515555555555554</v>
      </c>
      <c r="I48" s="12">
        <f>G48/I12</f>
        <v>0.20981818181818179</v>
      </c>
      <c r="J48" s="2"/>
      <c r="K48" s="2"/>
      <c r="L48" s="2"/>
      <c r="M48" s="2"/>
      <c r="N48" s="2"/>
      <c r="O48" s="2"/>
      <c r="P48" s="2"/>
      <c r="Q48" s="2"/>
      <c r="R48" s="2"/>
      <c r="S48" s="2"/>
      <c r="T48" s="2"/>
      <c r="U48" s="2"/>
      <c r="V48" s="2"/>
      <c r="W48" s="2"/>
      <c r="X48" s="2"/>
      <c r="Y48" s="2"/>
      <c r="Z48" s="2"/>
    </row>
    <row r="49" spans="1:26" ht="18.75" customHeight="1" x14ac:dyDescent="0.3">
      <c r="A49" s="51" t="s">
        <v>47</v>
      </c>
      <c r="B49" s="3"/>
      <c r="C49" s="51">
        <v>3</v>
      </c>
      <c r="D49" s="316" t="s">
        <v>48</v>
      </c>
      <c r="E49" s="52">
        <v>65</v>
      </c>
      <c r="F49" s="3"/>
      <c r="G49" s="16">
        <f t="shared" si="7"/>
        <v>195</v>
      </c>
      <c r="H49" s="11">
        <f t="shared" si="8"/>
        <v>4.333333333333333</v>
      </c>
      <c r="I49" s="12">
        <f>G49/I12</f>
        <v>4.4318181818181819E-2</v>
      </c>
      <c r="J49" s="2"/>
      <c r="K49" s="2"/>
      <c r="L49" s="2"/>
      <c r="M49" s="2"/>
      <c r="N49" s="2"/>
      <c r="O49" s="2"/>
      <c r="P49" s="2"/>
      <c r="Q49" s="2"/>
      <c r="R49" s="2"/>
      <c r="S49" s="2"/>
      <c r="T49" s="2"/>
      <c r="U49" s="2"/>
      <c r="V49" s="2"/>
      <c r="W49" s="2"/>
      <c r="X49" s="2"/>
      <c r="Y49" s="2"/>
      <c r="Z49" s="2"/>
    </row>
    <row r="50" spans="1:26" ht="18.75" customHeight="1" x14ac:dyDescent="0.3">
      <c r="A50" s="51" t="s">
        <v>49</v>
      </c>
      <c r="B50" s="3"/>
      <c r="C50" s="51">
        <v>2</v>
      </c>
      <c r="D50" s="316" t="s">
        <v>50</v>
      </c>
      <c r="E50" s="52">
        <v>43</v>
      </c>
      <c r="F50" s="3"/>
      <c r="G50" s="16">
        <f t="shared" si="7"/>
        <v>86</v>
      </c>
      <c r="H50" s="11">
        <f t="shared" si="8"/>
        <v>1.9111111111111112</v>
      </c>
      <c r="I50" s="12">
        <f>G50/I12</f>
        <v>1.9545454545454546E-2</v>
      </c>
      <c r="J50" s="2"/>
      <c r="K50" s="2"/>
      <c r="L50" s="2"/>
      <c r="M50" s="2"/>
      <c r="N50" s="2"/>
      <c r="O50" s="2"/>
      <c r="P50" s="2"/>
      <c r="Q50" s="2"/>
      <c r="R50" s="2"/>
      <c r="S50" s="2"/>
      <c r="T50" s="2"/>
      <c r="U50" s="2"/>
      <c r="V50" s="2"/>
      <c r="W50" s="2"/>
      <c r="X50" s="2"/>
      <c r="Y50" s="2"/>
      <c r="Z50" s="2"/>
    </row>
    <row r="51" spans="1:26" ht="18.75" customHeight="1" x14ac:dyDescent="0.3">
      <c r="A51" s="316" t="s">
        <v>51</v>
      </c>
      <c r="B51" s="3"/>
      <c r="C51" s="51">
        <v>40</v>
      </c>
      <c r="D51" s="316" t="s">
        <v>44</v>
      </c>
      <c r="E51" s="52">
        <v>16.39</v>
      </c>
      <c r="F51" s="3"/>
      <c r="G51" s="16">
        <f t="shared" si="7"/>
        <v>655.6</v>
      </c>
      <c r="H51" s="11">
        <f t="shared" si="8"/>
        <v>14.568888888888889</v>
      </c>
      <c r="I51" s="12">
        <f>G51/I12</f>
        <v>0.14899999999999999</v>
      </c>
      <c r="J51" s="2"/>
      <c r="K51" s="2"/>
      <c r="L51" s="2"/>
      <c r="M51" s="2"/>
      <c r="N51" s="2"/>
      <c r="O51" s="2"/>
      <c r="P51" s="2"/>
      <c r="Q51" s="2"/>
      <c r="R51" s="2"/>
      <c r="S51" s="2"/>
      <c r="T51" s="2"/>
      <c r="U51" s="2"/>
      <c r="V51" s="2"/>
      <c r="W51" s="2"/>
      <c r="X51" s="2"/>
      <c r="Y51" s="2"/>
      <c r="Z51" s="2"/>
    </row>
    <row r="52" spans="1:26" ht="18.75" customHeight="1" x14ac:dyDescent="0.3">
      <c r="A52" s="316" t="s">
        <v>52</v>
      </c>
      <c r="B52" s="3"/>
      <c r="C52" s="51">
        <v>4</v>
      </c>
      <c r="D52" s="316" t="s">
        <v>44</v>
      </c>
      <c r="E52" s="52">
        <v>6.5</v>
      </c>
      <c r="F52" s="3"/>
      <c r="G52" s="16">
        <f t="shared" si="7"/>
        <v>26</v>
      </c>
      <c r="H52" s="11">
        <f t="shared" si="8"/>
        <v>0.57777777777777772</v>
      </c>
      <c r="I52" s="12">
        <f>G52/I12</f>
        <v>5.909090909090909E-3</v>
      </c>
      <c r="J52" s="2"/>
      <c r="K52" s="2"/>
      <c r="L52" s="2"/>
      <c r="M52" s="2"/>
      <c r="N52" s="2"/>
      <c r="O52" s="2"/>
      <c r="P52" s="2"/>
      <c r="Q52" s="2"/>
      <c r="R52" s="2"/>
      <c r="S52" s="2"/>
      <c r="T52" s="2"/>
      <c r="U52" s="2"/>
      <c r="V52" s="2"/>
      <c r="W52" s="2"/>
      <c r="X52" s="2"/>
      <c r="Y52" s="2"/>
      <c r="Z52" s="2"/>
    </row>
    <row r="53" spans="1:26" ht="18.75" customHeight="1" x14ac:dyDescent="0.3">
      <c r="A53" s="51"/>
      <c r="B53" s="3"/>
      <c r="C53" s="51"/>
      <c r="D53" s="51"/>
      <c r="E53" s="52"/>
      <c r="F53" s="3"/>
      <c r="G53" s="16">
        <f t="shared" si="7"/>
        <v>0</v>
      </c>
      <c r="H53" s="11">
        <f t="shared" si="8"/>
        <v>0</v>
      </c>
      <c r="I53" s="12">
        <f>G53/I12</f>
        <v>0</v>
      </c>
      <c r="J53" s="2"/>
      <c r="K53" s="2"/>
      <c r="L53" s="2"/>
      <c r="M53" s="2"/>
      <c r="N53" s="2"/>
      <c r="O53" s="2"/>
      <c r="P53" s="2"/>
      <c r="Q53" s="2"/>
      <c r="R53" s="2"/>
      <c r="S53" s="2"/>
      <c r="T53" s="2"/>
      <c r="U53" s="2"/>
      <c r="V53" s="2"/>
      <c r="W53" s="2"/>
      <c r="X53" s="2"/>
      <c r="Y53" s="2"/>
      <c r="Z53" s="2"/>
    </row>
    <row r="54" spans="1:26" ht="18.75" customHeight="1" x14ac:dyDescent="0.3">
      <c r="A54" s="51"/>
      <c r="B54" s="3"/>
      <c r="C54" s="51"/>
      <c r="D54" s="51"/>
      <c r="E54" s="52"/>
      <c r="F54" s="3"/>
      <c r="G54" s="16">
        <f t="shared" si="7"/>
        <v>0</v>
      </c>
      <c r="H54" s="11">
        <f t="shared" si="8"/>
        <v>0</v>
      </c>
      <c r="I54" s="12">
        <f>G54/I12</f>
        <v>0</v>
      </c>
      <c r="J54" s="2"/>
      <c r="K54" s="2"/>
      <c r="L54" s="2"/>
      <c r="M54" s="2"/>
      <c r="N54" s="2"/>
      <c r="O54" s="2"/>
      <c r="P54" s="2"/>
      <c r="Q54" s="2"/>
      <c r="R54" s="2"/>
      <c r="S54" s="2"/>
      <c r="T54" s="2"/>
      <c r="U54" s="2"/>
      <c r="V54" s="2"/>
      <c r="W54" s="2"/>
      <c r="X54" s="2"/>
      <c r="Y54" s="2"/>
      <c r="Z54" s="2"/>
    </row>
    <row r="55" spans="1:26" ht="18.75" customHeight="1" x14ac:dyDescent="0.3">
      <c r="A55" s="61"/>
      <c r="B55" s="58"/>
      <c r="C55" s="61"/>
      <c r="D55" s="61"/>
      <c r="E55" s="62"/>
      <c r="F55" s="58"/>
      <c r="G55" s="16">
        <f t="shared" si="7"/>
        <v>0</v>
      </c>
      <c r="H55" s="11">
        <f t="shared" si="8"/>
        <v>0</v>
      </c>
      <c r="I55" s="12">
        <f>G55/I12</f>
        <v>0</v>
      </c>
      <c r="J55" s="2"/>
      <c r="K55" s="2"/>
      <c r="L55" s="2"/>
      <c r="M55" s="2"/>
      <c r="N55" s="2"/>
      <c r="O55" s="2"/>
      <c r="P55" s="2"/>
      <c r="Q55" s="2"/>
      <c r="R55" s="2"/>
      <c r="S55" s="2"/>
      <c r="T55" s="2"/>
      <c r="U55" s="2"/>
      <c r="V55" s="2"/>
      <c r="W55" s="2"/>
      <c r="X55" s="2"/>
      <c r="Y55" s="2"/>
      <c r="Z55" s="2"/>
    </row>
    <row r="56" spans="1:26" ht="18.75" customHeight="1" x14ac:dyDescent="0.3">
      <c r="A56" s="127" t="s">
        <v>53</v>
      </c>
      <c r="B56" s="127"/>
      <c r="C56" s="127"/>
      <c r="D56" s="127"/>
      <c r="E56" s="127"/>
      <c r="F56" s="131"/>
      <c r="G56" s="13">
        <f t="shared" ref="G56:I56" si="9">SUM(G46:G55)</f>
        <v>3062.2</v>
      </c>
      <c r="H56" s="14">
        <f>SUM(H46:H55)</f>
        <v>68.048888888888897</v>
      </c>
      <c r="I56" s="15">
        <f t="shared" si="9"/>
        <v>0.69595454545454538</v>
      </c>
      <c r="J56" s="1"/>
      <c r="K56" s="1"/>
      <c r="L56" s="1"/>
      <c r="M56" s="1"/>
      <c r="N56" s="1"/>
      <c r="O56" s="1"/>
      <c r="P56" s="1"/>
      <c r="Q56" s="1"/>
      <c r="R56" s="1"/>
      <c r="S56" s="1"/>
      <c r="T56" s="1"/>
      <c r="U56" s="1"/>
      <c r="V56" s="1"/>
      <c r="W56" s="1"/>
      <c r="X56" s="1"/>
      <c r="Y56" s="1"/>
      <c r="Z56" s="1"/>
    </row>
    <row r="57" spans="1:26" ht="18.75" customHeight="1" x14ac:dyDescent="0.3">
      <c r="A57" s="1"/>
      <c r="B57" s="1"/>
      <c r="C57" s="1"/>
      <c r="D57" s="1"/>
      <c r="E57" s="1"/>
      <c r="F57" s="1"/>
      <c r="G57" s="32"/>
      <c r="H57" s="32"/>
      <c r="I57" s="32"/>
      <c r="J57" s="1"/>
      <c r="K57" s="1"/>
      <c r="L57" s="1"/>
      <c r="M57" s="1"/>
      <c r="N57" s="1"/>
      <c r="O57" s="1"/>
      <c r="P57" s="1"/>
      <c r="Q57" s="1"/>
      <c r="R57" s="1"/>
      <c r="S57" s="1"/>
      <c r="T57" s="1"/>
      <c r="U57" s="1"/>
      <c r="V57" s="1"/>
      <c r="W57" s="1"/>
      <c r="X57" s="1"/>
      <c r="Y57" s="1"/>
      <c r="Z57" s="1"/>
    </row>
    <row r="58" spans="1:26" ht="18.75" customHeight="1" x14ac:dyDescent="0.3">
      <c r="A58" s="116" t="s">
        <v>56</v>
      </c>
      <c r="B58" s="115"/>
      <c r="C58" s="115"/>
      <c r="D58" s="115"/>
      <c r="E58" s="115"/>
      <c r="F58" s="115"/>
      <c r="G58" s="115"/>
      <c r="H58" s="115"/>
      <c r="I58" s="115"/>
      <c r="J58" s="2"/>
      <c r="K58" s="2"/>
      <c r="L58" s="2"/>
      <c r="M58" s="2"/>
      <c r="N58" s="2"/>
      <c r="O58" s="2"/>
      <c r="P58" s="2"/>
      <c r="Q58" s="2"/>
      <c r="R58" s="2"/>
      <c r="S58" s="2"/>
      <c r="T58" s="2"/>
      <c r="U58" s="2"/>
      <c r="V58" s="2"/>
      <c r="W58" s="2"/>
      <c r="X58" s="2"/>
      <c r="Y58" s="2"/>
      <c r="Z58" s="2"/>
    </row>
    <row r="59" spans="1:26" s="43" customFormat="1" ht="36.75" customHeight="1" x14ac:dyDescent="0.3">
      <c r="A59" s="9" t="s">
        <v>57</v>
      </c>
      <c r="B59" s="9"/>
      <c r="C59" s="10" t="s">
        <v>30</v>
      </c>
      <c r="D59" s="93" t="s">
        <v>31</v>
      </c>
      <c r="E59" s="93" t="s">
        <v>368</v>
      </c>
      <c r="F59" s="9"/>
      <c r="G59" s="93" t="s">
        <v>32</v>
      </c>
      <c r="H59" s="10" t="s">
        <v>13</v>
      </c>
      <c r="I59" s="10" t="s">
        <v>58</v>
      </c>
      <c r="J59" s="8"/>
      <c r="K59" s="8"/>
      <c r="L59" s="8"/>
      <c r="M59" s="8"/>
      <c r="N59" s="8"/>
      <c r="O59" s="8"/>
      <c r="P59" s="8"/>
      <c r="Q59" s="8"/>
      <c r="R59" s="8"/>
      <c r="S59" s="8"/>
      <c r="T59" s="8"/>
      <c r="U59" s="8"/>
      <c r="V59" s="8"/>
      <c r="W59" s="8"/>
      <c r="X59" s="8"/>
      <c r="Y59" s="8"/>
      <c r="Z59" s="8"/>
    </row>
    <row r="60" spans="1:26" ht="18.75" customHeight="1" x14ac:dyDescent="0.3">
      <c r="A60" s="51" t="s">
        <v>59</v>
      </c>
      <c r="B60" s="3"/>
      <c r="C60" s="51">
        <v>12</v>
      </c>
      <c r="D60" s="51" t="s">
        <v>34</v>
      </c>
      <c r="E60" s="52">
        <v>60</v>
      </c>
      <c r="F60" s="3"/>
      <c r="G60" s="16">
        <f t="shared" ref="G60:G64" si="10">C60*E60</f>
        <v>720</v>
      </c>
      <c r="H60" s="11">
        <f t="shared" ref="H60:H64" si="11">G60/$H$8</f>
        <v>16</v>
      </c>
      <c r="I60" s="12">
        <f>G60/I12</f>
        <v>0.16363636363636364</v>
      </c>
      <c r="J60" s="2"/>
      <c r="K60" s="2"/>
      <c r="L60" s="2"/>
      <c r="M60" s="2"/>
      <c r="N60" s="2"/>
      <c r="O60" s="2"/>
      <c r="P60" s="2"/>
      <c r="Q60" s="2"/>
      <c r="R60" s="2"/>
      <c r="S60" s="2"/>
      <c r="T60" s="2"/>
      <c r="U60" s="2"/>
      <c r="V60" s="2"/>
      <c r="W60" s="2"/>
      <c r="X60" s="2"/>
      <c r="Y60" s="2"/>
      <c r="Z60" s="2"/>
    </row>
    <row r="61" spans="1:26" ht="18.75" customHeight="1" x14ac:dyDescent="0.3">
      <c r="A61" s="51" t="s">
        <v>60</v>
      </c>
      <c r="B61" s="3"/>
      <c r="C61" s="51">
        <v>2</v>
      </c>
      <c r="D61" s="51" t="s">
        <v>34</v>
      </c>
      <c r="E61" s="52">
        <v>85</v>
      </c>
      <c r="F61" s="3"/>
      <c r="G61" s="16">
        <f t="shared" si="10"/>
        <v>170</v>
      </c>
      <c r="H61" s="11">
        <f t="shared" si="11"/>
        <v>3.7777777777777777</v>
      </c>
      <c r="I61" s="12">
        <f>G61/I12</f>
        <v>3.8636363636363635E-2</v>
      </c>
      <c r="J61" s="2"/>
      <c r="K61" s="2"/>
      <c r="L61" s="2"/>
      <c r="M61" s="2"/>
      <c r="N61" s="2"/>
      <c r="O61" s="2"/>
      <c r="P61" s="2"/>
      <c r="Q61" s="2"/>
      <c r="R61" s="2"/>
      <c r="S61" s="2"/>
      <c r="T61" s="2"/>
      <c r="U61" s="2"/>
      <c r="V61" s="2"/>
      <c r="W61" s="2"/>
      <c r="X61" s="2"/>
      <c r="Y61" s="2"/>
      <c r="Z61" s="2"/>
    </row>
    <row r="62" spans="1:26" ht="18.75" customHeight="1" x14ac:dyDescent="0.3">
      <c r="A62" s="51"/>
      <c r="B62" s="3"/>
      <c r="C62" s="51"/>
      <c r="D62" s="51"/>
      <c r="E62" s="52"/>
      <c r="F62" s="3"/>
      <c r="G62" s="16">
        <f t="shared" si="10"/>
        <v>0</v>
      </c>
      <c r="H62" s="11">
        <f t="shared" si="11"/>
        <v>0</v>
      </c>
      <c r="I62" s="12">
        <f>G62/I12</f>
        <v>0</v>
      </c>
      <c r="J62" s="2"/>
      <c r="K62" s="2"/>
      <c r="L62" s="2"/>
      <c r="M62" s="2"/>
      <c r="N62" s="2"/>
      <c r="O62" s="2"/>
      <c r="P62" s="2"/>
      <c r="Q62" s="2"/>
      <c r="R62" s="2"/>
      <c r="S62" s="2"/>
      <c r="T62" s="2"/>
      <c r="U62" s="2"/>
      <c r="V62" s="2"/>
      <c r="W62" s="2"/>
      <c r="X62" s="2"/>
      <c r="Y62" s="2"/>
      <c r="Z62" s="2"/>
    </row>
    <row r="63" spans="1:26" ht="18.75" customHeight="1" x14ac:dyDescent="0.3">
      <c r="A63" s="51"/>
      <c r="B63" s="3"/>
      <c r="C63" s="51"/>
      <c r="D63" s="51"/>
      <c r="E63" s="52"/>
      <c r="F63" s="3"/>
      <c r="G63" s="16">
        <f t="shared" si="10"/>
        <v>0</v>
      </c>
      <c r="H63" s="11">
        <f t="shared" si="11"/>
        <v>0</v>
      </c>
      <c r="I63" s="12">
        <f>G63/I12</f>
        <v>0</v>
      </c>
      <c r="J63" s="2"/>
      <c r="K63" s="2"/>
      <c r="L63" s="2"/>
      <c r="M63" s="2"/>
      <c r="N63" s="2"/>
      <c r="O63" s="2"/>
      <c r="P63" s="2"/>
      <c r="Q63" s="2"/>
      <c r="R63" s="2"/>
      <c r="S63" s="2"/>
      <c r="T63" s="2"/>
      <c r="U63" s="2"/>
      <c r="V63" s="2"/>
      <c r="W63" s="2"/>
      <c r="X63" s="2"/>
      <c r="Y63" s="2"/>
      <c r="Z63" s="2"/>
    </row>
    <row r="64" spans="1:26" ht="18.75" customHeight="1" x14ac:dyDescent="0.3">
      <c r="A64" s="61"/>
      <c r="B64" s="58"/>
      <c r="C64" s="61"/>
      <c r="D64" s="61"/>
      <c r="E64" s="62"/>
      <c r="F64" s="58"/>
      <c r="G64" s="16">
        <f t="shared" si="10"/>
        <v>0</v>
      </c>
      <c r="H64" s="11">
        <f t="shared" si="11"/>
        <v>0</v>
      </c>
      <c r="I64" s="12">
        <f>G64/I12</f>
        <v>0</v>
      </c>
      <c r="J64" s="2"/>
      <c r="K64" s="2"/>
      <c r="L64" s="2"/>
      <c r="M64" s="2"/>
      <c r="N64" s="2"/>
      <c r="O64" s="2"/>
      <c r="P64" s="2"/>
      <c r="Q64" s="2"/>
      <c r="R64" s="2"/>
      <c r="S64" s="2"/>
      <c r="T64" s="2"/>
      <c r="U64" s="2"/>
      <c r="V64" s="2"/>
      <c r="W64" s="2"/>
      <c r="X64" s="2"/>
      <c r="Y64" s="2"/>
      <c r="Z64" s="2"/>
    </row>
    <row r="65" spans="1:26" ht="18.75" customHeight="1" x14ac:dyDescent="0.3">
      <c r="A65" s="127" t="s">
        <v>61</v>
      </c>
      <c r="B65" s="127"/>
      <c r="C65" s="127"/>
      <c r="D65" s="127"/>
      <c r="E65" s="127"/>
      <c r="F65" s="131"/>
      <c r="G65" s="13">
        <f t="shared" ref="G65:I65" si="12">SUM(G60:G64)</f>
        <v>890</v>
      </c>
      <c r="H65" s="14">
        <f>SUM(H60:H64)</f>
        <v>19.777777777777779</v>
      </c>
      <c r="I65" s="15">
        <f t="shared" si="12"/>
        <v>0.20227272727272727</v>
      </c>
      <c r="J65" s="1"/>
      <c r="K65" s="1"/>
      <c r="L65" s="1"/>
      <c r="M65" s="1"/>
      <c r="N65" s="1"/>
      <c r="O65" s="1"/>
      <c r="P65" s="1"/>
      <c r="Q65" s="1"/>
      <c r="R65" s="1"/>
      <c r="S65" s="1"/>
      <c r="T65" s="1"/>
      <c r="U65" s="1"/>
      <c r="V65" s="1"/>
      <c r="W65" s="1"/>
      <c r="X65" s="1"/>
      <c r="Y65" s="1"/>
      <c r="Z65" s="1"/>
    </row>
    <row r="66" spans="1:26" ht="18.75" customHeight="1" x14ac:dyDescent="0.3">
      <c r="A66" s="1"/>
      <c r="B66" s="1"/>
      <c r="C66" s="1"/>
      <c r="D66" s="1"/>
      <c r="E66" s="1"/>
      <c r="F66" s="1"/>
      <c r="G66" s="32"/>
      <c r="H66" s="32"/>
      <c r="I66" s="32"/>
      <c r="J66" s="1"/>
      <c r="K66" s="1"/>
      <c r="L66" s="1"/>
      <c r="M66" s="1"/>
      <c r="N66" s="1"/>
      <c r="O66" s="1"/>
      <c r="P66" s="1"/>
      <c r="Q66" s="1"/>
      <c r="R66" s="1"/>
      <c r="S66" s="1"/>
      <c r="T66" s="1"/>
      <c r="U66" s="1"/>
      <c r="V66" s="1"/>
      <c r="W66" s="1"/>
      <c r="X66" s="1"/>
      <c r="Y66" s="1"/>
      <c r="Z66" s="1"/>
    </row>
    <row r="67" spans="1:26" ht="18.75" customHeight="1" x14ac:dyDescent="0.3">
      <c r="A67" s="119" t="s">
        <v>62</v>
      </c>
      <c r="B67" s="122"/>
      <c r="C67" s="123"/>
      <c r="D67" s="123"/>
      <c r="E67" s="123"/>
      <c r="F67" s="123"/>
      <c r="G67" s="123"/>
      <c r="H67" s="122"/>
      <c r="I67" s="122"/>
      <c r="J67" s="8"/>
      <c r="K67" s="8"/>
      <c r="L67" s="8"/>
      <c r="M67" s="8"/>
      <c r="N67" s="8"/>
      <c r="O67" s="8"/>
      <c r="P67" s="8"/>
      <c r="Q67" s="8"/>
      <c r="R67" s="8"/>
      <c r="S67" s="8"/>
      <c r="T67" s="8"/>
      <c r="U67" s="8"/>
      <c r="V67" s="8"/>
      <c r="W67" s="8"/>
      <c r="X67" s="8"/>
      <c r="Y67" s="8"/>
      <c r="Z67" s="8"/>
    </row>
    <row r="68" spans="1:26" ht="18.75" customHeight="1" x14ac:dyDescent="0.3">
      <c r="A68" s="3" t="s">
        <v>63</v>
      </c>
      <c r="B68" s="27"/>
      <c r="C68" s="28"/>
      <c r="D68" s="28"/>
      <c r="E68" s="28"/>
      <c r="F68" s="29"/>
      <c r="G68" s="327" t="s">
        <v>32</v>
      </c>
      <c r="H68" s="5" t="s">
        <v>13</v>
      </c>
      <c r="I68" s="5" t="s">
        <v>14</v>
      </c>
      <c r="J68" s="2"/>
      <c r="K68" s="2"/>
      <c r="L68" s="2"/>
      <c r="M68" s="2"/>
      <c r="N68" s="2"/>
      <c r="O68" s="2"/>
      <c r="P68" s="2"/>
      <c r="Q68" s="2"/>
      <c r="R68" s="2"/>
      <c r="S68" s="2"/>
      <c r="T68" s="2"/>
      <c r="U68" s="2"/>
      <c r="V68" s="2"/>
      <c r="W68" s="2"/>
      <c r="X68" s="2"/>
      <c r="Y68" s="2"/>
      <c r="Z68" s="2"/>
    </row>
    <row r="69" spans="1:26" ht="18.75" customHeight="1" x14ac:dyDescent="0.3">
      <c r="A69" s="51" t="s">
        <v>64</v>
      </c>
      <c r="B69" s="27"/>
      <c r="C69" s="19"/>
      <c r="D69" s="19"/>
      <c r="E69" s="19"/>
      <c r="F69" s="20"/>
      <c r="G69" s="52">
        <v>100</v>
      </c>
      <c r="H69" s="11">
        <f t="shared" ref="H69:H83" si="13">G69/$H$8</f>
        <v>2.2222222222222223</v>
      </c>
      <c r="I69" s="12">
        <f>G69/I12</f>
        <v>2.2727272727272728E-2</v>
      </c>
      <c r="J69" s="2"/>
      <c r="K69" s="2"/>
      <c r="L69" s="2"/>
      <c r="M69" s="2"/>
      <c r="N69" s="2"/>
      <c r="O69" s="2"/>
      <c r="P69" s="2"/>
      <c r="Q69" s="2"/>
      <c r="R69" s="2"/>
      <c r="S69" s="2"/>
      <c r="T69" s="2"/>
      <c r="U69" s="2"/>
      <c r="V69" s="2"/>
      <c r="W69" s="2"/>
      <c r="X69" s="2"/>
      <c r="Y69" s="2"/>
      <c r="Z69" s="2"/>
    </row>
    <row r="70" spans="1:26" ht="18.75" customHeight="1" x14ac:dyDescent="0.3">
      <c r="A70" s="51" t="s">
        <v>65</v>
      </c>
      <c r="B70" s="27"/>
      <c r="C70" s="19"/>
      <c r="D70" s="19"/>
      <c r="E70" s="19"/>
      <c r="F70" s="20"/>
      <c r="G70" s="52">
        <v>150</v>
      </c>
      <c r="H70" s="11">
        <f t="shared" si="13"/>
        <v>3.3333333333333335</v>
      </c>
      <c r="I70" s="12">
        <f>G70/I12</f>
        <v>3.4090909090909088E-2</v>
      </c>
      <c r="J70" s="2"/>
      <c r="K70" s="2"/>
      <c r="L70" s="2"/>
      <c r="M70" s="2"/>
      <c r="N70" s="2"/>
      <c r="O70" s="2"/>
      <c r="P70" s="2"/>
      <c r="Q70" s="2"/>
      <c r="R70" s="2"/>
      <c r="S70" s="2"/>
      <c r="T70" s="2"/>
      <c r="U70" s="2"/>
      <c r="V70" s="2"/>
      <c r="W70" s="2"/>
      <c r="X70" s="2"/>
      <c r="Y70" s="2"/>
      <c r="Z70" s="2"/>
    </row>
    <row r="71" spans="1:26" ht="18.75" customHeight="1" x14ac:dyDescent="0.3">
      <c r="A71" s="51" t="s">
        <v>66</v>
      </c>
      <c r="B71" s="27"/>
      <c r="C71" s="19"/>
      <c r="D71" s="19"/>
      <c r="E71" s="19"/>
      <c r="F71" s="20"/>
      <c r="G71" s="52">
        <v>110</v>
      </c>
      <c r="H71" s="11">
        <f t="shared" si="13"/>
        <v>2.4444444444444446</v>
      </c>
      <c r="I71" s="12">
        <f>G71/I12</f>
        <v>2.5000000000000001E-2</v>
      </c>
      <c r="J71" s="2"/>
      <c r="K71" s="2"/>
      <c r="L71" s="2"/>
      <c r="M71" s="2"/>
      <c r="N71" s="2"/>
      <c r="O71" s="2"/>
      <c r="P71" s="2"/>
      <c r="Q71" s="2"/>
      <c r="R71" s="2"/>
      <c r="S71" s="2"/>
      <c r="T71" s="2"/>
      <c r="U71" s="2"/>
      <c r="V71" s="2"/>
      <c r="W71" s="2"/>
      <c r="X71" s="2"/>
      <c r="Y71" s="2"/>
      <c r="Z71" s="2"/>
    </row>
    <row r="72" spans="1:26" ht="18.75" customHeight="1" x14ac:dyDescent="0.3">
      <c r="A72" s="51"/>
      <c r="B72" s="27"/>
      <c r="C72" s="19"/>
      <c r="D72" s="19"/>
      <c r="E72" s="19"/>
      <c r="F72" s="20"/>
      <c r="G72" s="52"/>
      <c r="H72" s="11">
        <f t="shared" si="13"/>
        <v>0</v>
      </c>
      <c r="I72" s="12">
        <f>G72/I12</f>
        <v>0</v>
      </c>
      <c r="J72" s="2"/>
      <c r="K72" s="2"/>
      <c r="L72" s="2"/>
      <c r="M72" s="2"/>
      <c r="N72" s="2"/>
      <c r="O72" s="2"/>
      <c r="P72" s="2"/>
      <c r="Q72" s="2"/>
      <c r="R72" s="2"/>
      <c r="S72" s="2"/>
      <c r="T72" s="2"/>
      <c r="U72" s="2"/>
      <c r="V72" s="2"/>
      <c r="W72" s="2"/>
      <c r="X72" s="2"/>
      <c r="Y72" s="2"/>
      <c r="Z72" s="2"/>
    </row>
    <row r="73" spans="1:26" ht="18.75" customHeight="1" x14ac:dyDescent="0.3">
      <c r="A73" s="51" t="s">
        <v>67</v>
      </c>
      <c r="B73" s="27"/>
      <c r="C73" s="19"/>
      <c r="D73" s="19"/>
      <c r="E73" s="19"/>
      <c r="F73" s="20"/>
      <c r="G73" s="52">
        <v>95</v>
      </c>
      <c r="H73" s="11">
        <f t="shared" si="13"/>
        <v>2.1111111111111112</v>
      </c>
      <c r="I73" s="12">
        <f>G73/I12</f>
        <v>2.1590909090909091E-2</v>
      </c>
      <c r="J73" s="2"/>
      <c r="K73" s="2"/>
      <c r="L73" s="2"/>
      <c r="M73" s="2"/>
      <c r="N73" s="2"/>
      <c r="O73" s="2"/>
      <c r="P73" s="2"/>
      <c r="Q73" s="2"/>
      <c r="R73" s="2"/>
      <c r="S73" s="2"/>
      <c r="T73" s="2"/>
      <c r="U73" s="2"/>
      <c r="V73" s="2"/>
      <c r="W73" s="2"/>
      <c r="X73" s="2"/>
      <c r="Y73" s="2"/>
      <c r="Z73" s="2"/>
    </row>
    <row r="74" spans="1:26" ht="18.75" customHeight="1" x14ac:dyDescent="0.3">
      <c r="A74" s="51" t="s">
        <v>68</v>
      </c>
      <c r="B74" s="27"/>
      <c r="C74" s="19"/>
      <c r="D74" s="19"/>
      <c r="E74" s="19"/>
      <c r="F74" s="20"/>
      <c r="G74" s="52">
        <v>135</v>
      </c>
      <c r="H74" s="11">
        <f t="shared" si="13"/>
        <v>3</v>
      </c>
      <c r="I74" s="12">
        <f>G74/I12</f>
        <v>3.0681818181818182E-2</v>
      </c>
      <c r="J74" s="2"/>
      <c r="K74" s="2"/>
      <c r="L74" s="2"/>
      <c r="M74" s="2"/>
      <c r="N74" s="2"/>
      <c r="O74" s="2"/>
      <c r="P74" s="2"/>
      <c r="Q74" s="2"/>
      <c r="R74" s="2"/>
      <c r="S74" s="2"/>
      <c r="T74" s="2"/>
      <c r="U74" s="2"/>
      <c r="V74" s="2"/>
      <c r="W74" s="2"/>
      <c r="X74" s="2"/>
      <c r="Y74" s="2"/>
      <c r="Z74" s="2"/>
    </row>
    <row r="75" spans="1:26" ht="18.75" customHeight="1" x14ac:dyDescent="0.3">
      <c r="A75" s="51"/>
      <c r="B75" s="27"/>
      <c r="C75" s="19"/>
      <c r="D75" s="19"/>
      <c r="E75" s="19"/>
      <c r="F75" s="20"/>
      <c r="G75" s="52"/>
      <c r="H75" s="11">
        <f t="shared" si="13"/>
        <v>0</v>
      </c>
      <c r="I75" s="12">
        <f>G75/I12</f>
        <v>0</v>
      </c>
      <c r="J75" s="2"/>
      <c r="K75" s="2"/>
      <c r="L75" s="2"/>
      <c r="M75" s="2"/>
      <c r="N75" s="2"/>
      <c r="O75" s="2"/>
      <c r="P75" s="2"/>
      <c r="Q75" s="2"/>
      <c r="R75" s="2"/>
      <c r="S75" s="2"/>
      <c r="T75" s="2"/>
      <c r="U75" s="2"/>
      <c r="V75" s="2"/>
      <c r="W75" s="2"/>
      <c r="X75" s="2"/>
      <c r="Y75" s="2"/>
      <c r="Z75" s="2"/>
    </row>
    <row r="76" spans="1:26" ht="18.75" customHeight="1" x14ac:dyDescent="0.3">
      <c r="A76" s="51"/>
      <c r="B76" s="27"/>
      <c r="C76" s="19"/>
      <c r="D76" s="19"/>
      <c r="E76" s="19"/>
      <c r="F76" s="20"/>
      <c r="G76" s="52"/>
      <c r="H76" s="11">
        <f t="shared" si="13"/>
        <v>0</v>
      </c>
      <c r="I76" s="12">
        <f>G76/I12</f>
        <v>0</v>
      </c>
      <c r="J76" s="2"/>
      <c r="K76" s="2"/>
      <c r="L76" s="2"/>
      <c r="M76" s="2"/>
      <c r="N76" s="2"/>
      <c r="O76" s="2"/>
      <c r="P76" s="2"/>
      <c r="Q76" s="2"/>
      <c r="R76" s="2"/>
      <c r="S76" s="2"/>
      <c r="T76" s="2"/>
      <c r="U76" s="2"/>
      <c r="V76" s="2"/>
      <c r="W76" s="2"/>
      <c r="X76" s="2"/>
      <c r="Y76" s="2"/>
      <c r="Z76" s="2"/>
    </row>
    <row r="77" spans="1:26" ht="18.75" customHeight="1" x14ac:dyDescent="0.3">
      <c r="A77" s="51"/>
      <c r="B77" s="27"/>
      <c r="C77" s="19"/>
      <c r="D77" s="19"/>
      <c r="E77" s="19"/>
      <c r="F77" s="20"/>
      <c r="G77" s="52"/>
      <c r="H77" s="11">
        <f t="shared" si="13"/>
        <v>0</v>
      </c>
      <c r="I77" s="12">
        <f>G77/I12</f>
        <v>0</v>
      </c>
      <c r="J77" s="2"/>
      <c r="K77" s="2"/>
      <c r="L77" s="2"/>
      <c r="M77" s="2"/>
      <c r="N77" s="2"/>
      <c r="O77" s="2"/>
      <c r="P77" s="2"/>
      <c r="Q77" s="2"/>
      <c r="R77" s="2"/>
      <c r="S77" s="2"/>
      <c r="T77" s="2"/>
      <c r="U77" s="2"/>
      <c r="V77" s="2"/>
      <c r="W77" s="2"/>
      <c r="X77" s="2"/>
      <c r="Y77" s="2"/>
      <c r="Z77" s="2"/>
    </row>
    <row r="78" spans="1:26" ht="18.75" customHeight="1" x14ac:dyDescent="0.3">
      <c r="A78" s="51"/>
      <c r="B78" s="27"/>
      <c r="C78" s="19"/>
      <c r="D78" s="19"/>
      <c r="E78" s="19"/>
      <c r="F78" s="20"/>
      <c r="G78" s="52"/>
      <c r="H78" s="11">
        <f t="shared" si="13"/>
        <v>0</v>
      </c>
      <c r="I78" s="12">
        <f>G78/I12</f>
        <v>0</v>
      </c>
      <c r="J78" s="2"/>
      <c r="K78" s="2"/>
      <c r="L78" s="2"/>
      <c r="M78" s="2"/>
      <c r="N78" s="2"/>
      <c r="O78" s="2"/>
      <c r="P78" s="2"/>
      <c r="Q78" s="2"/>
      <c r="R78" s="2"/>
      <c r="S78" s="2"/>
      <c r="T78" s="2"/>
      <c r="U78" s="2"/>
      <c r="V78" s="2"/>
      <c r="W78" s="2"/>
      <c r="X78" s="2"/>
      <c r="Y78" s="2"/>
      <c r="Z78" s="2"/>
    </row>
    <row r="79" spans="1:26" ht="18.75" customHeight="1" x14ac:dyDescent="0.3">
      <c r="A79" s="51"/>
      <c r="B79" s="27"/>
      <c r="C79" s="19"/>
      <c r="D79" s="19"/>
      <c r="E79" s="19"/>
      <c r="F79" s="20"/>
      <c r="G79" s="52"/>
      <c r="H79" s="11">
        <f t="shared" si="13"/>
        <v>0</v>
      </c>
      <c r="I79" s="12">
        <f>G79/I12</f>
        <v>0</v>
      </c>
      <c r="J79" s="2"/>
      <c r="K79" s="2"/>
      <c r="L79" s="2"/>
      <c r="M79" s="2"/>
      <c r="N79" s="2"/>
      <c r="O79" s="2"/>
      <c r="P79" s="2"/>
      <c r="Q79" s="2"/>
      <c r="R79" s="2"/>
      <c r="S79" s="2"/>
      <c r="T79" s="2"/>
      <c r="U79" s="2"/>
      <c r="V79" s="2"/>
      <c r="W79" s="2"/>
      <c r="X79" s="2"/>
      <c r="Y79" s="2"/>
      <c r="Z79" s="2"/>
    </row>
    <row r="80" spans="1:26" ht="18.75" customHeight="1" x14ac:dyDescent="0.3">
      <c r="A80" s="51"/>
      <c r="B80" s="27"/>
      <c r="C80" s="19"/>
      <c r="D80" s="19"/>
      <c r="E80" s="19"/>
      <c r="F80" s="20"/>
      <c r="G80" s="52"/>
      <c r="H80" s="11">
        <f t="shared" si="13"/>
        <v>0</v>
      </c>
      <c r="I80" s="12">
        <f>G80/I12</f>
        <v>0</v>
      </c>
      <c r="J80" s="2"/>
      <c r="K80" s="2"/>
      <c r="L80" s="2"/>
      <c r="M80" s="2"/>
      <c r="N80" s="2"/>
      <c r="O80" s="2"/>
      <c r="P80" s="2"/>
      <c r="Q80" s="2"/>
      <c r="R80" s="2"/>
      <c r="S80" s="2"/>
      <c r="T80" s="2"/>
      <c r="U80" s="2"/>
      <c r="V80" s="2"/>
      <c r="W80" s="2"/>
      <c r="X80" s="2"/>
      <c r="Y80" s="2"/>
      <c r="Z80" s="2"/>
    </row>
    <row r="81" spans="1:26" ht="18.75" customHeight="1" x14ac:dyDescent="0.3">
      <c r="A81" s="51"/>
      <c r="B81" s="27"/>
      <c r="C81" s="19"/>
      <c r="D81" s="19"/>
      <c r="E81" s="19"/>
      <c r="F81" s="20"/>
      <c r="G81" s="52"/>
      <c r="H81" s="11">
        <f t="shared" si="13"/>
        <v>0</v>
      </c>
      <c r="I81" s="12">
        <f>G81/I12</f>
        <v>0</v>
      </c>
      <c r="J81" s="2"/>
      <c r="K81" s="2"/>
      <c r="L81" s="2"/>
      <c r="M81" s="2"/>
      <c r="N81" s="2"/>
      <c r="O81" s="2"/>
      <c r="P81" s="2"/>
      <c r="Q81" s="2"/>
      <c r="R81" s="2"/>
      <c r="S81" s="2"/>
      <c r="T81" s="2"/>
      <c r="U81" s="2"/>
      <c r="V81" s="2"/>
      <c r="W81" s="2"/>
      <c r="X81" s="2"/>
      <c r="Y81" s="2"/>
      <c r="Z81" s="2"/>
    </row>
    <row r="82" spans="1:26" ht="18.75" customHeight="1" x14ac:dyDescent="0.3">
      <c r="A82" s="51"/>
      <c r="B82" s="27"/>
      <c r="C82" s="19"/>
      <c r="D82" s="19"/>
      <c r="E82" s="19"/>
      <c r="F82" s="20"/>
      <c r="G82" s="52"/>
      <c r="H82" s="11">
        <f t="shared" si="13"/>
        <v>0</v>
      </c>
      <c r="I82" s="12">
        <f>G82/I12</f>
        <v>0</v>
      </c>
      <c r="J82" s="2"/>
      <c r="K82" s="2"/>
      <c r="L82" s="2"/>
      <c r="M82" s="2"/>
      <c r="N82" s="2"/>
      <c r="O82" s="2"/>
      <c r="P82" s="2"/>
      <c r="Q82" s="2"/>
      <c r="R82" s="2"/>
      <c r="S82" s="2"/>
      <c r="T82" s="2"/>
      <c r="U82" s="2"/>
      <c r="V82" s="2"/>
      <c r="W82" s="2"/>
      <c r="X82" s="2"/>
      <c r="Y82" s="2"/>
      <c r="Z82" s="2"/>
    </row>
    <row r="83" spans="1:26" ht="18.75" customHeight="1" x14ac:dyDescent="0.3">
      <c r="A83" s="61"/>
      <c r="B83" s="128"/>
      <c r="C83" s="129"/>
      <c r="D83" s="129"/>
      <c r="E83" s="129"/>
      <c r="F83" s="130"/>
      <c r="G83" s="52"/>
      <c r="H83" s="11">
        <f t="shared" si="13"/>
        <v>0</v>
      </c>
      <c r="I83" s="12">
        <f>G83/I12</f>
        <v>0</v>
      </c>
      <c r="J83" s="2"/>
      <c r="K83" s="2"/>
      <c r="L83" s="2"/>
      <c r="M83" s="2"/>
      <c r="N83" s="2"/>
      <c r="O83" s="2"/>
      <c r="P83" s="2"/>
      <c r="Q83" s="2"/>
      <c r="R83" s="2"/>
      <c r="S83" s="2"/>
      <c r="T83" s="2"/>
      <c r="U83" s="2"/>
      <c r="V83" s="2"/>
      <c r="W83" s="2"/>
      <c r="X83" s="2"/>
      <c r="Y83" s="2"/>
      <c r="Z83" s="2"/>
    </row>
    <row r="84" spans="1:26" ht="18.75" customHeight="1" x14ac:dyDescent="0.3">
      <c r="A84" s="127" t="s">
        <v>69</v>
      </c>
      <c r="B84" s="90"/>
      <c r="C84" s="90"/>
      <c r="D84" s="90"/>
      <c r="E84" s="90"/>
      <c r="F84" s="110"/>
      <c r="G84" s="13">
        <f t="shared" ref="G84:I84" si="14">SUM(G69:G83)</f>
        <v>590</v>
      </c>
      <c r="H84" s="14">
        <f>SUM(H69:H83)</f>
        <v>13.111111111111111</v>
      </c>
      <c r="I84" s="15">
        <f t="shared" si="14"/>
        <v>0.13409090909090909</v>
      </c>
      <c r="J84" s="2"/>
      <c r="K84" s="2"/>
      <c r="L84" s="2"/>
      <c r="M84" s="2"/>
      <c r="N84" s="2"/>
      <c r="O84" s="2"/>
      <c r="P84" s="2"/>
      <c r="Q84" s="2"/>
      <c r="R84" s="2"/>
      <c r="S84" s="2"/>
      <c r="T84" s="2"/>
      <c r="U84" s="2"/>
      <c r="V84" s="2"/>
      <c r="W84" s="2"/>
      <c r="X84" s="2"/>
      <c r="Y84" s="2"/>
      <c r="Z84" s="2"/>
    </row>
    <row r="85" spans="1:26" ht="18.75" customHeight="1" x14ac:dyDescent="0.3">
      <c r="A85" s="1"/>
      <c r="B85" s="2"/>
      <c r="C85" s="2"/>
      <c r="D85" s="2"/>
      <c r="E85" s="2"/>
      <c r="F85" s="2"/>
      <c r="G85" s="32"/>
      <c r="H85" s="32"/>
      <c r="I85" s="32"/>
      <c r="J85" s="2"/>
      <c r="K85" s="2"/>
      <c r="L85" s="2"/>
      <c r="M85" s="2"/>
      <c r="N85" s="2"/>
      <c r="O85" s="2"/>
      <c r="P85" s="2"/>
      <c r="Q85" s="2"/>
      <c r="R85" s="2"/>
      <c r="S85" s="2"/>
      <c r="T85" s="2"/>
      <c r="U85" s="2"/>
      <c r="V85" s="2"/>
      <c r="W85" s="2"/>
      <c r="X85" s="2"/>
      <c r="Y85" s="2"/>
      <c r="Z85" s="2"/>
    </row>
    <row r="86" spans="1:26" ht="18.75" customHeight="1" x14ac:dyDescent="0.3">
      <c r="A86" s="119" t="s">
        <v>70</v>
      </c>
      <c r="B86" s="117"/>
      <c r="C86" s="118"/>
      <c r="D86" s="118"/>
      <c r="E86" s="118"/>
      <c r="F86" s="118"/>
      <c r="G86" s="118"/>
      <c r="H86" s="117"/>
      <c r="I86" s="117"/>
      <c r="J86" s="8"/>
      <c r="K86" s="8"/>
      <c r="L86" s="8"/>
      <c r="M86" s="8"/>
      <c r="N86" s="8"/>
      <c r="O86" s="8"/>
      <c r="P86" s="8"/>
      <c r="Q86" s="8"/>
      <c r="R86" s="8"/>
      <c r="S86" s="8"/>
      <c r="T86" s="8"/>
      <c r="U86" s="8"/>
      <c r="V86" s="8"/>
      <c r="W86" s="8"/>
      <c r="X86" s="8"/>
      <c r="Y86" s="8"/>
      <c r="Z86" s="8"/>
    </row>
    <row r="87" spans="1:26" ht="18.75" customHeight="1" x14ac:dyDescent="0.3">
      <c r="A87" s="356"/>
      <c r="B87" s="358" t="s">
        <v>379</v>
      </c>
      <c r="C87" s="359"/>
      <c r="D87" s="359"/>
      <c r="E87" s="359"/>
      <c r="F87" s="359"/>
      <c r="G87" s="359"/>
      <c r="H87" s="358"/>
      <c r="I87" s="357"/>
      <c r="J87" s="8"/>
      <c r="K87" s="8"/>
      <c r="L87" s="8"/>
      <c r="M87" s="8"/>
      <c r="N87" s="8"/>
      <c r="O87" s="8"/>
      <c r="P87" s="8"/>
      <c r="Q87" s="8"/>
      <c r="R87" s="8"/>
      <c r="S87" s="8"/>
      <c r="T87" s="8"/>
      <c r="U87" s="8"/>
      <c r="V87" s="8"/>
      <c r="W87" s="8"/>
      <c r="X87" s="8"/>
      <c r="Y87" s="8"/>
      <c r="Z87" s="8"/>
    </row>
    <row r="88" spans="1:26" ht="18.75" customHeight="1" x14ac:dyDescent="0.3">
      <c r="A88" s="3" t="s">
        <v>63</v>
      </c>
      <c r="B88" s="27"/>
      <c r="C88" s="28"/>
      <c r="D88" s="28"/>
      <c r="E88" s="28"/>
      <c r="F88" s="29"/>
      <c r="G88" s="327" t="s">
        <v>32</v>
      </c>
      <c r="H88" s="5" t="s">
        <v>13</v>
      </c>
      <c r="I88" s="3" t="s">
        <v>14</v>
      </c>
      <c r="J88" s="2"/>
      <c r="K88" s="2"/>
      <c r="L88" s="2"/>
      <c r="M88" s="2"/>
      <c r="N88" s="2"/>
      <c r="O88" s="2"/>
      <c r="P88" s="2"/>
      <c r="Q88" s="2"/>
      <c r="R88" s="2"/>
      <c r="S88" s="2"/>
      <c r="T88" s="2"/>
      <c r="U88" s="2"/>
      <c r="V88" s="2"/>
      <c r="W88" s="2"/>
      <c r="X88" s="2"/>
      <c r="Y88" s="2"/>
      <c r="Z88" s="2"/>
    </row>
    <row r="89" spans="1:26" ht="18.75" customHeight="1" x14ac:dyDescent="0.3">
      <c r="A89" s="51" t="s">
        <v>71</v>
      </c>
      <c r="B89" s="27"/>
      <c r="C89" s="19"/>
      <c r="D89" s="19"/>
      <c r="E89" s="19"/>
      <c r="F89" s="20"/>
      <c r="G89" s="52">
        <v>42</v>
      </c>
      <c r="H89" s="11">
        <f t="shared" ref="H89:H97" si="15">G89/$H$8</f>
        <v>0.93333333333333335</v>
      </c>
      <c r="I89" s="12">
        <f>G89/I12</f>
        <v>9.5454545454545462E-3</v>
      </c>
      <c r="J89" s="2"/>
      <c r="K89" s="2"/>
      <c r="L89" s="2"/>
      <c r="M89" s="2"/>
      <c r="N89" s="2"/>
      <c r="O89" s="2"/>
      <c r="P89" s="2"/>
      <c r="Q89" s="2"/>
      <c r="R89" s="2"/>
      <c r="S89" s="2"/>
      <c r="T89" s="2"/>
      <c r="U89" s="2"/>
      <c r="V89" s="2"/>
      <c r="W89" s="2"/>
      <c r="X89" s="2"/>
      <c r="Y89" s="2"/>
      <c r="Z89" s="2"/>
    </row>
    <row r="90" spans="1:26" ht="18.75" customHeight="1" x14ac:dyDescent="0.3">
      <c r="A90" s="51" t="s">
        <v>72</v>
      </c>
      <c r="B90" s="27"/>
      <c r="C90" s="19"/>
      <c r="D90" s="19"/>
      <c r="E90" s="19"/>
      <c r="F90" s="20"/>
      <c r="G90" s="52">
        <v>540</v>
      </c>
      <c r="H90" s="11">
        <f t="shared" si="15"/>
        <v>12</v>
      </c>
      <c r="I90" s="12">
        <f>G90/I12</f>
        <v>0.12272727272727273</v>
      </c>
      <c r="J90" s="2"/>
      <c r="K90" s="2"/>
      <c r="L90" s="2"/>
      <c r="M90" s="2"/>
      <c r="N90" s="2"/>
      <c r="O90" s="2"/>
      <c r="P90" s="2"/>
      <c r="Q90" s="2"/>
      <c r="R90" s="2"/>
      <c r="S90" s="2"/>
      <c r="T90" s="2"/>
      <c r="U90" s="2"/>
      <c r="V90" s="2"/>
      <c r="W90" s="2"/>
      <c r="X90" s="2"/>
      <c r="Y90" s="2"/>
      <c r="Z90" s="2"/>
    </row>
    <row r="91" spans="1:26" ht="18.75" customHeight="1" x14ac:dyDescent="0.3">
      <c r="A91" s="51" t="s">
        <v>73</v>
      </c>
      <c r="B91" s="27"/>
      <c r="C91" s="19"/>
      <c r="D91" s="19"/>
      <c r="E91" s="19"/>
      <c r="F91" s="20"/>
      <c r="G91" s="52">
        <v>12</v>
      </c>
      <c r="H91" s="11">
        <f t="shared" si="15"/>
        <v>0.26666666666666666</v>
      </c>
      <c r="I91" s="12">
        <f>G91/I12</f>
        <v>2.7272727272727275E-3</v>
      </c>
      <c r="J91" s="2"/>
      <c r="K91" s="2"/>
      <c r="L91" s="2"/>
      <c r="M91" s="2"/>
      <c r="N91" s="2"/>
      <c r="O91" s="2"/>
      <c r="P91" s="2"/>
      <c r="Q91" s="2"/>
      <c r="R91" s="2"/>
      <c r="S91" s="2"/>
      <c r="T91" s="2"/>
      <c r="U91" s="2"/>
      <c r="V91" s="2"/>
      <c r="W91" s="2"/>
      <c r="X91" s="2"/>
      <c r="Y91" s="2"/>
      <c r="Z91" s="2"/>
    </row>
    <row r="92" spans="1:26" ht="18.75" customHeight="1" x14ac:dyDescent="0.3">
      <c r="A92" s="51" t="s">
        <v>74</v>
      </c>
      <c r="B92" s="27"/>
      <c r="C92" s="19"/>
      <c r="D92" s="19"/>
      <c r="E92" s="19"/>
      <c r="F92" s="20"/>
      <c r="G92" s="52">
        <v>3</v>
      </c>
      <c r="H92" s="11">
        <f t="shared" si="15"/>
        <v>6.6666666666666666E-2</v>
      </c>
      <c r="I92" s="12">
        <f>G92/I12</f>
        <v>6.8181818181818187E-4</v>
      </c>
      <c r="J92" s="2"/>
      <c r="K92" s="2"/>
      <c r="L92" s="2"/>
      <c r="M92" s="2"/>
      <c r="N92" s="2"/>
      <c r="O92" s="2"/>
      <c r="P92" s="2"/>
      <c r="Q92" s="2"/>
      <c r="R92" s="2"/>
      <c r="S92" s="2"/>
      <c r="T92" s="2"/>
      <c r="U92" s="2"/>
      <c r="V92" s="2"/>
      <c r="W92" s="2"/>
      <c r="X92" s="2"/>
      <c r="Y92" s="2"/>
      <c r="Z92" s="2"/>
    </row>
    <row r="93" spans="1:26" ht="18.75" customHeight="1" x14ac:dyDescent="0.3">
      <c r="A93" s="51"/>
      <c r="B93" s="27"/>
      <c r="C93" s="19"/>
      <c r="D93" s="19"/>
      <c r="E93" s="19"/>
      <c r="F93" s="20"/>
      <c r="G93" s="52"/>
      <c r="H93" s="11">
        <f t="shared" si="15"/>
        <v>0</v>
      </c>
      <c r="I93" s="12">
        <f>G93/I12</f>
        <v>0</v>
      </c>
      <c r="J93" s="2"/>
      <c r="K93" s="2"/>
      <c r="L93" s="2"/>
      <c r="M93" s="2"/>
      <c r="N93" s="2"/>
      <c r="O93" s="2"/>
      <c r="P93" s="2"/>
      <c r="Q93" s="2"/>
      <c r="R93" s="2"/>
      <c r="S93" s="2"/>
      <c r="T93" s="2"/>
      <c r="U93" s="2"/>
      <c r="V93" s="2"/>
      <c r="W93" s="2"/>
      <c r="X93" s="2"/>
      <c r="Y93" s="2"/>
      <c r="Z93" s="2"/>
    </row>
    <row r="94" spans="1:26" ht="18.75" customHeight="1" x14ac:dyDescent="0.3">
      <c r="A94" s="51" t="s">
        <v>75</v>
      </c>
      <c r="B94" s="27"/>
      <c r="C94" s="19"/>
      <c r="D94" s="19"/>
      <c r="E94" s="19"/>
      <c r="F94" s="20"/>
      <c r="G94" s="52"/>
      <c r="H94" s="11">
        <f t="shared" si="15"/>
        <v>0</v>
      </c>
      <c r="I94" s="12">
        <f>G94/I12</f>
        <v>0</v>
      </c>
      <c r="J94" s="2"/>
      <c r="K94" s="2"/>
      <c r="L94" s="2"/>
      <c r="M94" s="2"/>
      <c r="N94" s="2"/>
      <c r="O94" s="2"/>
      <c r="P94" s="2"/>
      <c r="Q94" s="2"/>
      <c r="R94" s="2"/>
      <c r="S94" s="2"/>
      <c r="T94" s="2"/>
      <c r="U94" s="2"/>
      <c r="V94" s="2"/>
      <c r="W94" s="2"/>
      <c r="X94" s="2"/>
      <c r="Y94" s="2"/>
      <c r="Z94" s="2"/>
    </row>
    <row r="95" spans="1:26" ht="18.75" customHeight="1" x14ac:dyDescent="0.3">
      <c r="A95" s="51" t="s">
        <v>76</v>
      </c>
      <c r="B95" s="27"/>
      <c r="C95" s="19"/>
      <c r="D95" s="19"/>
      <c r="E95" s="19"/>
      <c r="F95" s="20"/>
      <c r="G95" s="52">
        <v>100</v>
      </c>
      <c r="H95" s="11">
        <f t="shared" si="15"/>
        <v>2.2222222222222223</v>
      </c>
      <c r="I95" s="12">
        <f>G95/I12</f>
        <v>2.2727272727272728E-2</v>
      </c>
      <c r="J95" s="2"/>
      <c r="K95" s="2"/>
      <c r="L95" s="2"/>
      <c r="M95" s="2"/>
      <c r="N95" s="2"/>
      <c r="O95" s="2"/>
      <c r="P95" s="2"/>
      <c r="Q95" s="2"/>
      <c r="R95" s="2"/>
      <c r="S95" s="2"/>
      <c r="T95" s="2"/>
      <c r="U95" s="2"/>
      <c r="V95" s="2"/>
      <c r="W95" s="2"/>
      <c r="X95" s="2"/>
      <c r="Y95" s="2"/>
      <c r="Z95" s="2"/>
    </row>
    <row r="96" spans="1:26" ht="18.75" customHeight="1" x14ac:dyDescent="0.3">
      <c r="A96" s="51"/>
      <c r="B96" s="27"/>
      <c r="C96" s="19"/>
      <c r="D96" s="19"/>
      <c r="E96" s="19"/>
      <c r="F96" s="20"/>
      <c r="G96" s="52"/>
      <c r="H96" s="11">
        <f t="shared" si="15"/>
        <v>0</v>
      </c>
      <c r="I96" s="12">
        <f>G96/I12</f>
        <v>0</v>
      </c>
      <c r="J96" s="2"/>
      <c r="K96" s="2"/>
      <c r="L96" s="2"/>
      <c r="M96" s="2"/>
      <c r="N96" s="2"/>
      <c r="O96" s="2"/>
      <c r="P96" s="2"/>
      <c r="Q96" s="2"/>
      <c r="R96" s="2"/>
      <c r="S96" s="2"/>
      <c r="T96" s="2"/>
      <c r="U96" s="2"/>
      <c r="V96" s="2"/>
      <c r="W96" s="2"/>
      <c r="X96" s="2"/>
      <c r="Y96" s="2"/>
      <c r="Z96" s="2"/>
    </row>
    <row r="97" spans="1:26" ht="18.75" customHeight="1" x14ac:dyDescent="0.3">
      <c r="A97" s="61"/>
      <c r="B97" s="27"/>
      <c r="C97" s="19"/>
      <c r="D97" s="19"/>
      <c r="E97" s="19"/>
      <c r="F97" s="20"/>
      <c r="G97" s="52"/>
      <c r="H97" s="11">
        <f t="shared" si="15"/>
        <v>0</v>
      </c>
      <c r="I97" s="12">
        <f>G97/I12</f>
        <v>0</v>
      </c>
      <c r="J97" s="2"/>
      <c r="K97" s="2"/>
      <c r="L97" s="2"/>
      <c r="M97" s="2"/>
      <c r="N97" s="2"/>
      <c r="O97" s="2"/>
      <c r="P97" s="2"/>
      <c r="Q97" s="2"/>
      <c r="R97" s="2"/>
      <c r="S97" s="2"/>
      <c r="T97" s="2"/>
      <c r="U97" s="2"/>
      <c r="V97" s="2"/>
      <c r="W97" s="2"/>
      <c r="X97" s="2"/>
      <c r="Y97" s="2"/>
      <c r="Z97" s="2"/>
    </row>
    <row r="98" spans="1:26" ht="18.75" customHeight="1" x14ac:dyDescent="0.3">
      <c r="A98" s="127" t="s">
        <v>77</v>
      </c>
      <c r="B98" s="125"/>
      <c r="C98" s="125"/>
      <c r="D98" s="125"/>
      <c r="E98" s="125"/>
      <c r="F98" s="126"/>
      <c r="G98" s="13">
        <f>SUM(G89:G97)</f>
        <v>697</v>
      </c>
      <c r="H98" s="14">
        <f>SUM(H89:H97)</f>
        <v>15.488888888888891</v>
      </c>
      <c r="I98" s="15">
        <f>SUM(I89:I97)</f>
        <v>0.15840909090909089</v>
      </c>
      <c r="J98" s="1"/>
      <c r="K98" s="1"/>
      <c r="L98" s="1"/>
      <c r="M98" s="1"/>
      <c r="N98" s="1"/>
      <c r="O98" s="1"/>
      <c r="P98" s="1"/>
      <c r="Q98" s="1"/>
      <c r="R98" s="1"/>
      <c r="S98" s="1"/>
      <c r="T98" s="1"/>
      <c r="U98" s="1"/>
      <c r="V98" s="1"/>
      <c r="W98" s="1"/>
      <c r="X98" s="1"/>
      <c r="Y98" s="1"/>
      <c r="Z98" s="1"/>
    </row>
    <row r="99" spans="1:26" ht="18.75" customHeight="1" x14ac:dyDescent="0.3">
      <c r="A99" s="1"/>
      <c r="B99" s="1"/>
      <c r="C99" s="1"/>
      <c r="D99" s="1"/>
      <c r="E99" s="1"/>
      <c r="F99" s="1"/>
      <c r="G99" s="32"/>
      <c r="H99" s="32"/>
      <c r="I99" s="32"/>
      <c r="J99" s="1"/>
      <c r="K99" s="1"/>
      <c r="L99" s="1"/>
      <c r="M99" s="1"/>
      <c r="N99" s="1"/>
      <c r="O99" s="1"/>
      <c r="P99" s="1"/>
      <c r="Q99" s="1"/>
      <c r="R99" s="1"/>
      <c r="S99" s="1"/>
      <c r="T99" s="1"/>
      <c r="U99" s="1"/>
      <c r="V99" s="1"/>
      <c r="W99" s="1"/>
      <c r="X99" s="1"/>
      <c r="Y99" s="1"/>
      <c r="Z99" s="1"/>
    </row>
    <row r="100" spans="1:26" ht="18.75" customHeight="1" x14ac:dyDescent="0.3">
      <c r="A100" s="116" t="s">
        <v>78</v>
      </c>
      <c r="B100" s="115"/>
      <c r="C100" s="115"/>
      <c r="D100" s="115"/>
      <c r="E100" s="115"/>
      <c r="F100" s="115"/>
      <c r="G100" s="115"/>
      <c r="H100" s="115"/>
      <c r="I100" s="115"/>
      <c r="J100" s="2"/>
      <c r="K100" s="2"/>
      <c r="L100" s="2"/>
      <c r="M100" s="2"/>
      <c r="N100" s="2"/>
      <c r="O100" s="2"/>
      <c r="P100" s="2"/>
      <c r="Q100" s="2"/>
      <c r="R100" s="2"/>
      <c r="S100" s="2"/>
      <c r="T100" s="2"/>
      <c r="U100" s="2"/>
      <c r="V100" s="2"/>
      <c r="W100" s="2"/>
      <c r="X100" s="2"/>
      <c r="Y100" s="2"/>
      <c r="Z100" s="2"/>
    </row>
    <row r="101" spans="1:26" ht="37.5" customHeight="1" x14ac:dyDescent="0.3">
      <c r="A101" s="17" t="s">
        <v>63</v>
      </c>
      <c r="B101" s="8"/>
      <c r="C101" s="8"/>
      <c r="D101" s="8"/>
      <c r="E101" s="93" t="s">
        <v>79</v>
      </c>
      <c r="F101" s="10" t="s">
        <v>80</v>
      </c>
      <c r="G101" s="10" t="s">
        <v>81</v>
      </c>
      <c r="H101" s="5" t="s">
        <v>13</v>
      </c>
      <c r="I101" s="10" t="s">
        <v>14</v>
      </c>
      <c r="J101" s="8"/>
      <c r="K101" s="8"/>
      <c r="L101" s="8"/>
      <c r="M101" s="8"/>
      <c r="N101" s="8"/>
      <c r="O101" s="8"/>
      <c r="P101" s="8"/>
      <c r="Q101" s="8"/>
      <c r="R101" s="8"/>
      <c r="S101" s="8"/>
      <c r="T101" s="8"/>
      <c r="U101" s="8"/>
      <c r="V101" s="8"/>
      <c r="W101" s="8"/>
      <c r="X101" s="8"/>
      <c r="Y101" s="8"/>
      <c r="Z101" s="8"/>
    </row>
    <row r="102" spans="1:26" ht="18.75" customHeight="1" x14ac:dyDescent="0.3">
      <c r="A102" s="18" t="s">
        <v>82</v>
      </c>
      <c r="B102" s="19"/>
      <c r="C102" s="19"/>
      <c r="D102" s="20"/>
      <c r="E102" s="52">
        <v>225</v>
      </c>
      <c r="F102" s="146">
        <v>1</v>
      </c>
      <c r="G102" s="16">
        <f>E102*F102</f>
        <v>225</v>
      </c>
      <c r="H102" s="11">
        <f t="shared" ref="H102:H118" si="16">G102/$H$8</f>
        <v>5</v>
      </c>
      <c r="I102" s="12">
        <f>G102/I12</f>
        <v>5.113636363636364E-2</v>
      </c>
      <c r="J102" s="2"/>
      <c r="K102" s="2"/>
      <c r="L102" s="2"/>
      <c r="M102" s="2"/>
      <c r="N102" s="2"/>
      <c r="O102" s="2"/>
      <c r="P102" s="2"/>
      <c r="Q102" s="2"/>
      <c r="R102" s="2"/>
      <c r="S102" s="2"/>
      <c r="T102" s="2"/>
      <c r="U102" s="2"/>
      <c r="V102" s="2"/>
      <c r="W102" s="2"/>
      <c r="X102" s="2"/>
      <c r="Y102" s="2"/>
      <c r="Z102" s="2"/>
    </row>
    <row r="103" spans="1:26" ht="18.75" customHeight="1" x14ac:dyDescent="0.3">
      <c r="A103" s="18" t="s">
        <v>83</v>
      </c>
      <c r="B103" s="19"/>
      <c r="C103" s="19"/>
      <c r="D103" s="20"/>
      <c r="E103" s="52">
        <v>125</v>
      </c>
      <c r="F103" s="146">
        <v>1</v>
      </c>
      <c r="G103" s="16">
        <f t="shared" ref="G103:G118" si="17">E103*F103</f>
        <v>125</v>
      </c>
      <c r="H103" s="11">
        <f t="shared" si="16"/>
        <v>2.7777777777777777</v>
      </c>
      <c r="I103" s="12">
        <f>G103/I12</f>
        <v>2.8409090909090908E-2</v>
      </c>
      <c r="J103" s="2"/>
      <c r="K103" s="2"/>
      <c r="L103" s="2"/>
      <c r="M103" s="2"/>
      <c r="N103" s="2"/>
      <c r="O103" s="2"/>
      <c r="P103" s="2"/>
      <c r="Q103" s="2"/>
      <c r="R103" s="2"/>
      <c r="S103" s="2"/>
      <c r="T103" s="2"/>
      <c r="U103" s="2"/>
      <c r="V103" s="2"/>
      <c r="W103" s="2"/>
      <c r="X103" s="2"/>
      <c r="Y103" s="2"/>
      <c r="Z103" s="2"/>
    </row>
    <row r="104" spans="1:26" ht="18.75" customHeight="1" x14ac:dyDescent="0.3">
      <c r="A104" s="18" t="s">
        <v>84</v>
      </c>
      <c r="B104" s="19"/>
      <c r="C104" s="19"/>
      <c r="D104" s="20"/>
      <c r="E104" s="52">
        <v>5400</v>
      </c>
      <c r="F104" s="146">
        <v>0.1</v>
      </c>
      <c r="G104" s="16">
        <f t="shared" si="17"/>
        <v>540</v>
      </c>
      <c r="H104" s="11">
        <f t="shared" si="16"/>
        <v>12</v>
      </c>
      <c r="I104" s="12">
        <f>G104/I12</f>
        <v>0.12272727272727273</v>
      </c>
      <c r="J104" s="2"/>
      <c r="K104" s="2"/>
      <c r="L104" s="2"/>
      <c r="M104" s="2"/>
      <c r="N104" s="2"/>
      <c r="O104" s="2"/>
      <c r="P104" s="2"/>
      <c r="Q104" s="2"/>
      <c r="R104" s="2"/>
      <c r="S104" s="2"/>
      <c r="T104" s="2"/>
      <c r="U104" s="2"/>
      <c r="V104" s="2"/>
      <c r="W104" s="2"/>
      <c r="X104" s="2"/>
      <c r="Y104" s="2"/>
      <c r="Z104" s="2"/>
    </row>
    <row r="105" spans="1:26" ht="18.75" customHeight="1" x14ac:dyDescent="0.3">
      <c r="A105" s="18" t="s">
        <v>85</v>
      </c>
      <c r="B105" s="19"/>
      <c r="C105" s="19"/>
      <c r="D105" s="20"/>
      <c r="E105" s="52">
        <v>1620</v>
      </c>
      <c r="F105" s="146">
        <v>0.08</v>
      </c>
      <c r="G105" s="16">
        <f t="shared" si="17"/>
        <v>129.6</v>
      </c>
      <c r="H105" s="11">
        <f t="shared" si="16"/>
        <v>2.88</v>
      </c>
      <c r="I105" s="12">
        <f>G105/I12</f>
        <v>2.9454545454545452E-2</v>
      </c>
      <c r="J105" s="2"/>
      <c r="K105" s="2"/>
      <c r="L105" s="2"/>
      <c r="M105" s="2"/>
      <c r="N105" s="2"/>
      <c r="O105" s="2"/>
      <c r="P105" s="2"/>
      <c r="Q105" s="2"/>
      <c r="R105" s="2"/>
      <c r="S105" s="2"/>
      <c r="T105" s="2"/>
      <c r="U105" s="2"/>
      <c r="V105" s="2"/>
      <c r="W105" s="2"/>
      <c r="X105" s="2"/>
      <c r="Y105" s="2"/>
      <c r="Z105" s="2"/>
    </row>
    <row r="106" spans="1:26" ht="18.75" customHeight="1" x14ac:dyDescent="0.3">
      <c r="A106" s="21" t="s">
        <v>86</v>
      </c>
      <c r="B106" s="19"/>
      <c r="C106" s="19"/>
      <c r="D106" s="20"/>
      <c r="E106" s="52">
        <v>4050</v>
      </c>
      <c r="F106" s="146">
        <v>7.0000000000000007E-2</v>
      </c>
      <c r="G106" s="16">
        <f t="shared" si="17"/>
        <v>283.5</v>
      </c>
      <c r="H106" s="11">
        <f t="shared" si="16"/>
        <v>6.3</v>
      </c>
      <c r="I106" s="12">
        <f>G106/I12</f>
        <v>6.4431818181818187E-2</v>
      </c>
      <c r="J106" s="2"/>
      <c r="K106" s="2"/>
      <c r="L106" s="2"/>
      <c r="M106" s="2"/>
      <c r="N106" s="2"/>
      <c r="O106" s="2"/>
      <c r="P106" s="2"/>
      <c r="Q106" s="2"/>
      <c r="R106" s="2"/>
      <c r="S106" s="2"/>
      <c r="T106" s="2"/>
      <c r="U106" s="2"/>
      <c r="V106" s="2"/>
      <c r="W106" s="2"/>
      <c r="X106" s="2"/>
      <c r="Y106" s="2"/>
      <c r="Z106" s="2"/>
    </row>
    <row r="107" spans="1:26" ht="18.75" customHeight="1" x14ac:dyDescent="0.3">
      <c r="A107" s="21" t="s">
        <v>87</v>
      </c>
      <c r="B107" s="19"/>
      <c r="C107" s="19"/>
      <c r="D107" s="20"/>
      <c r="E107" s="52">
        <v>3240</v>
      </c>
      <c r="F107" s="146">
        <v>0.1</v>
      </c>
      <c r="G107" s="16">
        <f t="shared" si="17"/>
        <v>324</v>
      </c>
      <c r="H107" s="11">
        <f t="shared" si="16"/>
        <v>7.2</v>
      </c>
      <c r="I107" s="12">
        <f>G107/I12</f>
        <v>7.3636363636363639E-2</v>
      </c>
      <c r="J107" s="2"/>
      <c r="K107" s="2"/>
      <c r="L107" s="2"/>
      <c r="M107" s="2"/>
      <c r="N107" s="2"/>
      <c r="O107" s="2"/>
      <c r="P107" s="2"/>
      <c r="Q107" s="2"/>
      <c r="R107" s="2"/>
      <c r="S107" s="2"/>
      <c r="T107" s="2"/>
      <c r="U107" s="2"/>
      <c r="V107" s="2"/>
      <c r="W107" s="2"/>
      <c r="X107" s="2"/>
      <c r="Y107" s="2"/>
      <c r="Z107" s="2"/>
    </row>
    <row r="108" spans="1:26" ht="18.75" customHeight="1" x14ac:dyDescent="0.3">
      <c r="A108" s="21" t="s">
        <v>88</v>
      </c>
      <c r="B108" s="19"/>
      <c r="C108" s="19"/>
      <c r="D108" s="20"/>
      <c r="E108" s="52"/>
      <c r="F108" s="146"/>
      <c r="G108" s="16">
        <f t="shared" si="17"/>
        <v>0</v>
      </c>
      <c r="H108" s="11">
        <f t="shared" si="16"/>
        <v>0</v>
      </c>
      <c r="I108" s="12">
        <f>G108/I12</f>
        <v>0</v>
      </c>
      <c r="J108" s="2"/>
      <c r="K108" s="2"/>
      <c r="L108" s="2"/>
      <c r="M108" s="2"/>
      <c r="N108" s="2"/>
      <c r="O108" s="2"/>
      <c r="P108" s="2"/>
      <c r="Q108" s="2"/>
      <c r="R108" s="2"/>
      <c r="S108" s="2"/>
      <c r="T108" s="2"/>
      <c r="U108" s="2"/>
      <c r="V108" s="2"/>
      <c r="W108" s="2"/>
      <c r="X108" s="2"/>
      <c r="Y108" s="2"/>
      <c r="Z108" s="2"/>
    </row>
    <row r="109" spans="1:26" ht="18.75" customHeight="1" x14ac:dyDescent="0.3">
      <c r="A109" s="21" t="s">
        <v>89</v>
      </c>
      <c r="B109" s="19"/>
      <c r="C109" s="19"/>
      <c r="D109" s="20"/>
      <c r="E109" s="52"/>
      <c r="F109" s="146"/>
      <c r="G109" s="16">
        <f t="shared" si="17"/>
        <v>0</v>
      </c>
      <c r="H109" s="11">
        <f t="shared" si="16"/>
        <v>0</v>
      </c>
      <c r="I109" s="12">
        <f>G109/I12</f>
        <v>0</v>
      </c>
      <c r="J109" s="2"/>
      <c r="K109" s="2"/>
      <c r="L109" s="2"/>
      <c r="M109" s="2"/>
      <c r="N109" s="2"/>
      <c r="O109" s="2"/>
      <c r="P109" s="2"/>
      <c r="Q109" s="2"/>
      <c r="R109" s="2"/>
      <c r="S109" s="2"/>
      <c r="T109" s="2"/>
      <c r="U109" s="2"/>
      <c r="V109" s="2"/>
      <c r="W109" s="2"/>
      <c r="X109" s="2"/>
      <c r="Y109" s="2"/>
      <c r="Z109" s="2"/>
    </row>
    <row r="110" spans="1:26" ht="18.75" customHeight="1" x14ac:dyDescent="0.3">
      <c r="A110" s="18" t="s">
        <v>90</v>
      </c>
      <c r="B110" s="19"/>
      <c r="C110" s="19"/>
      <c r="D110" s="20"/>
      <c r="E110" s="52"/>
      <c r="F110" s="146"/>
      <c r="G110" s="16">
        <f t="shared" si="17"/>
        <v>0</v>
      </c>
      <c r="H110" s="11">
        <f t="shared" si="16"/>
        <v>0</v>
      </c>
      <c r="I110" s="12">
        <f>G110/I12</f>
        <v>0</v>
      </c>
      <c r="J110" s="2"/>
      <c r="K110" s="2"/>
      <c r="L110" s="2"/>
      <c r="M110" s="2"/>
      <c r="N110" s="2"/>
      <c r="O110" s="2"/>
      <c r="P110" s="2"/>
      <c r="Q110" s="2"/>
      <c r="R110" s="2"/>
      <c r="S110" s="2"/>
      <c r="T110" s="2"/>
      <c r="U110" s="2"/>
      <c r="V110" s="2"/>
      <c r="W110" s="2"/>
      <c r="X110" s="2"/>
      <c r="Y110" s="2"/>
      <c r="Z110" s="2"/>
    </row>
    <row r="111" spans="1:26" ht="18.75" customHeight="1" x14ac:dyDescent="0.3">
      <c r="A111" s="18" t="s">
        <v>91</v>
      </c>
      <c r="B111" s="19"/>
      <c r="C111" s="19"/>
      <c r="D111" s="20"/>
      <c r="E111" s="52"/>
      <c r="F111" s="146"/>
      <c r="G111" s="16">
        <f t="shared" si="17"/>
        <v>0</v>
      </c>
      <c r="H111" s="11">
        <f t="shared" si="16"/>
        <v>0</v>
      </c>
      <c r="I111" s="12">
        <f>G111/I12</f>
        <v>0</v>
      </c>
      <c r="J111" s="2"/>
      <c r="K111" s="2"/>
      <c r="L111" s="2"/>
      <c r="M111" s="2"/>
      <c r="N111" s="2"/>
      <c r="O111" s="2"/>
      <c r="P111" s="2"/>
      <c r="Q111" s="2"/>
      <c r="R111" s="2"/>
      <c r="S111" s="2"/>
      <c r="T111" s="2"/>
      <c r="U111" s="2"/>
      <c r="V111" s="2"/>
      <c r="W111" s="2"/>
      <c r="X111" s="2"/>
      <c r="Y111" s="2"/>
      <c r="Z111" s="2"/>
    </row>
    <row r="112" spans="1:26" ht="18.75" customHeight="1" x14ac:dyDescent="0.3">
      <c r="A112" s="18" t="s">
        <v>92</v>
      </c>
      <c r="B112" s="19"/>
      <c r="C112" s="19"/>
      <c r="D112" s="20"/>
      <c r="E112" s="52"/>
      <c r="F112" s="146"/>
      <c r="G112" s="16">
        <f t="shared" si="17"/>
        <v>0</v>
      </c>
      <c r="H112" s="11">
        <f t="shared" si="16"/>
        <v>0</v>
      </c>
      <c r="I112" s="12">
        <f>G112/I12</f>
        <v>0</v>
      </c>
      <c r="J112" s="2"/>
      <c r="K112" s="2"/>
      <c r="L112" s="2"/>
      <c r="M112" s="2"/>
      <c r="N112" s="2"/>
      <c r="O112" s="2"/>
      <c r="P112" s="2"/>
      <c r="Q112" s="2"/>
      <c r="R112" s="2"/>
      <c r="S112" s="2"/>
      <c r="T112" s="2"/>
      <c r="U112" s="2"/>
      <c r="V112" s="2"/>
      <c r="W112" s="2"/>
      <c r="X112" s="2"/>
      <c r="Y112" s="2"/>
      <c r="Z112" s="2"/>
    </row>
    <row r="113" spans="1:26" ht="18.75" customHeight="1" x14ac:dyDescent="0.3">
      <c r="A113" s="22" t="s">
        <v>93</v>
      </c>
      <c r="B113" s="19"/>
      <c r="C113" s="19"/>
      <c r="D113" s="20"/>
      <c r="E113" s="52"/>
      <c r="F113" s="146"/>
      <c r="G113" s="16">
        <f t="shared" si="17"/>
        <v>0</v>
      </c>
      <c r="H113" s="11">
        <f t="shared" si="16"/>
        <v>0</v>
      </c>
      <c r="I113" s="12">
        <f>G113/$I$12</f>
        <v>0</v>
      </c>
      <c r="J113" s="2"/>
      <c r="K113" s="2"/>
      <c r="L113" s="2"/>
      <c r="M113" s="2"/>
      <c r="N113" s="2"/>
      <c r="O113" s="2"/>
      <c r="P113" s="2"/>
      <c r="Q113" s="2"/>
      <c r="R113" s="2"/>
      <c r="S113" s="2"/>
      <c r="T113" s="2"/>
      <c r="U113" s="2"/>
      <c r="V113" s="2"/>
      <c r="W113" s="2"/>
      <c r="X113" s="2"/>
      <c r="Y113" s="2"/>
      <c r="Z113" s="2"/>
    </row>
    <row r="114" spans="1:26" ht="18.75" customHeight="1" x14ac:dyDescent="0.3">
      <c r="A114" s="17" t="s">
        <v>94</v>
      </c>
      <c r="B114" s="19"/>
      <c r="C114" s="19"/>
      <c r="D114" s="20"/>
      <c r="E114" s="52"/>
      <c r="F114" s="146"/>
      <c r="G114" s="16">
        <f t="shared" si="17"/>
        <v>0</v>
      </c>
      <c r="H114" s="11">
        <f t="shared" si="16"/>
        <v>0</v>
      </c>
      <c r="I114" s="12">
        <f t="shared" ref="I114:I118" si="18">G114/$I$12</f>
        <v>0</v>
      </c>
      <c r="J114" s="2"/>
      <c r="K114" s="2"/>
      <c r="L114" s="2"/>
      <c r="M114" s="2"/>
      <c r="N114" s="2"/>
      <c r="O114" s="2"/>
      <c r="P114" s="2"/>
      <c r="Q114" s="2"/>
      <c r="R114" s="2"/>
      <c r="S114" s="2"/>
      <c r="T114" s="2"/>
      <c r="U114" s="2"/>
      <c r="V114" s="2"/>
      <c r="W114" s="2"/>
      <c r="X114" s="2"/>
      <c r="Y114" s="2"/>
      <c r="Z114" s="2"/>
    </row>
    <row r="115" spans="1:26" ht="18.75" customHeight="1" x14ac:dyDescent="0.3">
      <c r="A115" s="139"/>
      <c r="B115" s="140"/>
      <c r="C115" s="140"/>
      <c r="D115" s="141"/>
      <c r="E115" s="52"/>
      <c r="F115" s="146"/>
      <c r="G115" s="16">
        <f t="shared" si="17"/>
        <v>0</v>
      </c>
      <c r="H115" s="11">
        <f t="shared" si="16"/>
        <v>0</v>
      </c>
      <c r="I115" s="12">
        <f t="shared" si="18"/>
        <v>0</v>
      </c>
      <c r="J115" s="2"/>
      <c r="K115" s="2"/>
      <c r="L115" s="2"/>
      <c r="M115" s="2"/>
      <c r="N115" s="2"/>
      <c r="O115" s="2"/>
      <c r="P115" s="2"/>
      <c r="Q115" s="2"/>
      <c r="R115" s="2"/>
      <c r="S115" s="2"/>
      <c r="T115" s="2"/>
      <c r="U115" s="2"/>
      <c r="V115" s="2"/>
      <c r="W115" s="2"/>
      <c r="X115" s="2"/>
      <c r="Y115" s="2"/>
      <c r="Z115" s="2"/>
    </row>
    <row r="116" spans="1:26" ht="18.75" customHeight="1" x14ac:dyDescent="0.3">
      <c r="A116" s="139"/>
      <c r="B116" s="140"/>
      <c r="C116" s="140"/>
      <c r="D116" s="141"/>
      <c r="E116" s="52"/>
      <c r="F116" s="146"/>
      <c r="G116" s="16">
        <f t="shared" si="17"/>
        <v>0</v>
      </c>
      <c r="H116" s="11">
        <f t="shared" si="16"/>
        <v>0</v>
      </c>
      <c r="I116" s="12">
        <f t="shared" si="18"/>
        <v>0</v>
      </c>
      <c r="J116" s="2"/>
      <c r="K116" s="2"/>
      <c r="L116" s="2"/>
      <c r="M116" s="2"/>
      <c r="N116" s="2"/>
      <c r="O116" s="2"/>
      <c r="P116" s="2"/>
      <c r="Q116" s="2"/>
      <c r="R116" s="2"/>
      <c r="S116" s="2"/>
      <c r="T116" s="2"/>
      <c r="U116" s="2"/>
      <c r="V116" s="2"/>
      <c r="W116" s="2"/>
      <c r="X116" s="2"/>
      <c r="Y116" s="2"/>
      <c r="Z116" s="2"/>
    </row>
    <row r="117" spans="1:26" ht="18.75" customHeight="1" x14ac:dyDescent="0.3">
      <c r="A117" s="139"/>
      <c r="B117" s="140"/>
      <c r="C117" s="140"/>
      <c r="D117" s="141"/>
      <c r="E117" s="52"/>
      <c r="F117" s="146"/>
      <c r="G117" s="16">
        <f t="shared" si="17"/>
        <v>0</v>
      </c>
      <c r="H117" s="11">
        <f t="shared" si="16"/>
        <v>0</v>
      </c>
      <c r="I117" s="12">
        <f t="shared" si="18"/>
        <v>0</v>
      </c>
      <c r="J117" s="2"/>
      <c r="K117" s="2"/>
      <c r="L117" s="2"/>
      <c r="M117" s="2"/>
      <c r="N117" s="2"/>
      <c r="O117" s="2"/>
      <c r="P117" s="2"/>
      <c r="Q117" s="2"/>
      <c r="R117" s="2"/>
      <c r="S117" s="2"/>
      <c r="T117" s="2"/>
      <c r="U117" s="2"/>
      <c r="V117" s="2"/>
      <c r="W117" s="2"/>
      <c r="X117" s="2"/>
      <c r="Y117" s="2"/>
      <c r="Z117" s="2"/>
    </row>
    <row r="118" spans="1:26" ht="18.75" customHeight="1" x14ac:dyDescent="0.3">
      <c r="A118" s="142"/>
      <c r="B118" s="143"/>
      <c r="C118" s="143"/>
      <c r="D118" s="144"/>
      <c r="E118" s="62"/>
      <c r="F118" s="147"/>
      <c r="G118" s="16">
        <f t="shared" si="17"/>
        <v>0</v>
      </c>
      <c r="H118" s="11">
        <f t="shared" si="16"/>
        <v>0</v>
      </c>
      <c r="I118" s="12">
        <f t="shared" si="18"/>
        <v>0</v>
      </c>
      <c r="J118" s="2"/>
      <c r="K118" s="2"/>
      <c r="L118" s="2"/>
      <c r="M118" s="2"/>
      <c r="N118" s="2"/>
      <c r="O118" s="2"/>
      <c r="P118" s="2"/>
      <c r="Q118" s="2"/>
      <c r="R118" s="2"/>
      <c r="S118" s="2"/>
      <c r="T118" s="2"/>
      <c r="U118" s="2"/>
      <c r="V118" s="2"/>
      <c r="W118" s="2"/>
      <c r="X118" s="2"/>
      <c r="Y118" s="2"/>
      <c r="Z118" s="2"/>
    </row>
    <row r="119" spans="1:26" ht="18.75" customHeight="1" x14ac:dyDescent="0.3">
      <c r="A119" s="134" t="s">
        <v>95</v>
      </c>
      <c r="B119" s="90"/>
      <c r="C119" s="90"/>
      <c r="D119" s="90"/>
      <c r="E119" s="90"/>
      <c r="F119" s="110"/>
      <c r="G119" s="13">
        <f>SUM(G102:G118)</f>
        <v>1627.1</v>
      </c>
      <c r="H119" s="14">
        <f>SUM(H102:H118)</f>
        <v>36.157777777777781</v>
      </c>
      <c r="I119" s="15">
        <f>SUM(I102:I118)</f>
        <v>0.36979545454545459</v>
      </c>
      <c r="J119" s="2"/>
      <c r="K119" s="2"/>
      <c r="L119" s="2"/>
      <c r="M119" s="2"/>
      <c r="N119" s="2"/>
      <c r="O119" s="2"/>
      <c r="P119" s="2"/>
      <c r="Q119" s="2"/>
      <c r="R119" s="2"/>
      <c r="S119" s="2"/>
      <c r="T119" s="2"/>
      <c r="U119" s="2"/>
      <c r="V119" s="2"/>
      <c r="W119" s="2"/>
      <c r="X119" s="2"/>
      <c r="Y119" s="2"/>
      <c r="Z119" s="2"/>
    </row>
    <row r="120" spans="1:26" ht="18.75" customHeight="1" x14ac:dyDescent="0.3">
      <c r="A120" s="83"/>
      <c r="B120" s="2"/>
      <c r="C120" s="2"/>
      <c r="D120" s="2"/>
      <c r="E120" s="2"/>
      <c r="F120" s="2"/>
      <c r="G120" s="32"/>
      <c r="H120" s="32"/>
      <c r="I120" s="32"/>
      <c r="J120" s="2"/>
      <c r="K120" s="2"/>
      <c r="L120" s="2"/>
      <c r="M120" s="2"/>
      <c r="N120" s="2"/>
      <c r="O120" s="2"/>
      <c r="P120" s="2"/>
      <c r="Q120" s="2"/>
      <c r="R120" s="2"/>
      <c r="S120" s="2"/>
      <c r="T120" s="2"/>
      <c r="U120" s="2"/>
      <c r="V120" s="2"/>
      <c r="W120" s="2"/>
      <c r="X120" s="2"/>
      <c r="Y120" s="2"/>
      <c r="Z120" s="2"/>
    </row>
    <row r="121" spans="1:26" ht="18.75" customHeight="1" x14ac:dyDescent="0.3">
      <c r="A121" s="116" t="s">
        <v>96</v>
      </c>
      <c r="B121" s="164"/>
      <c r="C121" s="164"/>
      <c r="D121" s="164"/>
      <c r="E121" s="164"/>
      <c r="F121" s="164"/>
      <c r="G121" s="165"/>
      <c r="H121" s="165"/>
      <c r="I121" s="165"/>
      <c r="J121" s="2"/>
      <c r="K121" s="2"/>
      <c r="L121" s="2"/>
      <c r="M121" s="2"/>
      <c r="N121" s="2"/>
      <c r="O121" s="2"/>
      <c r="P121" s="2"/>
      <c r="Q121" s="2"/>
      <c r="R121" s="2"/>
      <c r="S121" s="2"/>
      <c r="T121" s="2"/>
      <c r="U121" s="2"/>
      <c r="V121" s="2"/>
      <c r="W121" s="2"/>
      <c r="X121" s="2"/>
      <c r="Y121" s="2"/>
      <c r="Z121" s="2"/>
    </row>
    <row r="122" spans="1:26" ht="18.75" customHeight="1" x14ac:dyDescent="0.3">
      <c r="A122" s="83" t="s">
        <v>97</v>
      </c>
      <c r="B122" s="2"/>
      <c r="C122" s="2"/>
      <c r="D122" s="2"/>
      <c r="E122" s="2"/>
      <c r="F122" s="2"/>
      <c r="G122" s="44">
        <f>G42+G56+G65+G84+G98+G119</f>
        <v>12796.300000000001</v>
      </c>
      <c r="H122" s="45">
        <f>H42+H56+H65+H84+H98+H119</f>
        <v>284.36222222222221</v>
      </c>
      <c r="I122" s="166">
        <f>I42+I56++I65+I84+I98+I119</f>
        <v>2.9082499999999998</v>
      </c>
      <c r="J122" s="2"/>
      <c r="K122" s="2"/>
      <c r="L122" s="2"/>
      <c r="M122" s="2"/>
      <c r="N122" s="2"/>
      <c r="O122" s="2"/>
      <c r="P122" s="2"/>
      <c r="Q122" s="2"/>
      <c r="R122" s="2"/>
      <c r="S122" s="2"/>
      <c r="T122" s="2"/>
      <c r="U122" s="2"/>
      <c r="V122" s="2"/>
      <c r="W122" s="2"/>
      <c r="X122" s="2"/>
      <c r="Y122" s="2"/>
      <c r="Z122" s="2"/>
    </row>
    <row r="123" spans="1:26" ht="18.75" customHeight="1" x14ac:dyDescent="0.3">
      <c r="A123" s="83" t="s">
        <v>98</v>
      </c>
      <c r="B123" s="2"/>
      <c r="C123" s="2"/>
      <c r="D123" s="2"/>
      <c r="E123" s="54" t="s">
        <v>99</v>
      </c>
      <c r="F123" s="180">
        <v>0.02</v>
      </c>
      <c r="G123" s="44">
        <f>(G122*$F$123)*0.5</f>
        <v>127.96300000000001</v>
      </c>
      <c r="H123" s="167">
        <f>(H122*$F$123)*0.5</f>
        <v>2.8436222222222223</v>
      </c>
      <c r="I123" s="168">
        <f>(I122*$F$123)*0.5</f>
        <v>2.9082499999999997E-2</v>
      </c>
      <c r="J123" s="2"/>
      <c r="K123" s="2"/>
      <c r="L123" s="2"/>
      <c r="M123" s="2"/>
      <c r="N123" s="2"/>
      <c r="O123" s="2"/>
      <c r="P123" s="2"/>
      <c r="Q123" s="2"/>
      <c r="R123" s="2"/>
      <c r="S123" s="2"/>
      <c r="T123" s="2"/>
      <c r="U123" s="2"/>
      <c r="V123" s="2"/>
      <c r="W123" s="2"/>
      <c r="X123" s="2"/>
      <c r="Y123" s="2"/>
      <c r="Z123" s="2"/>
    </row>
    <row r="124" spans="1:26" ht="18.75" customHeight="1" x14ac:dyDescent="0.3">
      <c r="A124" s="83"/>
      <c r="B124" s="308" t="s">
        <v>100</v>
      </c>
      <c r="C124" s="309"/>
      <c r="D124" s="309"/>
      <c r="E124" s="309"/>
      <c r="F124" s="309"/>
      <c r="G124" s="310"/>
      <c r="H124" s="310"/>
      <c r="I124" s="32"/>
      <c r="J124" s="2"/>
      <c r="K124" s="2"/>
      <c r="L124" s="2"/>
      <c r="M124" s="2"/>
      <c r="N124" s="2"/>
      <c r="O124" s="2"/>
      <c r="P124" s="2"/>
      <c r="Q124" s="2"/>
      <c r="R124" s="2"/>
      <c r="S124" s="2"/>
      <c r="T124" s="2"/>
      <c r="U124" s="2"/>
      <c r="V124" s="2"/>
      <c r="W124" s="2"/>
      <c r="X124" s="2"/>
      <c r="Y124" s="2"/>
      <c r="Z124" s="2"/>
    </row>
    <row r="125" spans="1:26" ht="18.75" customHeight="1" x14ac:dyDescent="0.3">
      <c r="A125" s="116" t="s">
        <v>101</v>
      </c>
      <c r="B125" s="115"/>
      <c r="C125" s="115"/>
      <c r="D125" s="115"/>
      <c r="E125" s="115"/>
      <c r="F125" s="115"/>
      <c r="G125" s="153"/>
      <c r="H125" s="154"/>
      <c r="I125" s="155"/>
      <c r="J125" s="2"/>
      <c r="K125" s="2"/>
      <c r="L125" s="2"/>
      <c r="M125" s="2"/>
      <c r="N125" s="2"/>
      <c r="O125" s="2"/>
      <c r="P125" s="2"/>
      <c r="Q125" s="2"/>
      <c r="R125" s="2"/>
      <c r="S125" s="2"/>
      <c r="T125" s="2"/>
      <c r="U125" s="2"/>
      <c r="V125" s="2"/>
      <c r="W125" s="2"/>
      <c r="X125" s="2"/>
      <c r="Y125" s="2"/>
      <c r="Z125" s="2"/>
    </row>
    <row r="126" spans="1:26" ht="18.75" customHeight="1" x14ac:dyDescent="0.3">
      <c r="A126" s="83"/>
      <c r="B126" s="2"/>
      <c r="C126" s="2"/>
      <c r="D126" s="2"/>
      <c r="E126" s="2"/>
      <c r="F126" s="2"/>
      <c r="G126" s="32"/>
      <c r="H126" s="32"/>
      <c r="I126" s="32"/>
      <c r="J126" s="2"/>
      <c r="K126" s="2"/>
      <c r="L126" s="2"/>
      <c r="M126" s="2"/>
      <c r="N126" s="2"/>
      <c r="O126" s="2"/>
      <c r="P126" s="2"/>
      <c r="Q126" s="2"/>
      <c r="R126" s="2"/>
      <c r="S126" s="2"/>
      <c r="T126" s="2"/>
      <c r="U126" s="2"/>
      <c r="V126" s="2"/>
      <c r="W126" s="2"/>
      <c r="X126" s="2"/>
      <c r="Y126" s="2"/>
      <c r="Z126" s="2"/>
    </row>
    <row r="127" spans="1:26" ht="18.75" customHeight="1" x14ac:dyDescent="0.3">
      <c r="A127" s="116" t="s">
        <v>102</v>
      </c>
      <c r="B127" s="115"/>
      <c r="C127" s="115"/>
      <c r="D127" s="115"/>
      <c r="E127" s="115"/>
      <c r="F127" s="115"/>
      <c r="G127" s="124"/>
      <c r="H127" s="124"/>
      <c r="I127" s="124"/>
      <c r="J127" s="2"/>
      <c r="K127" s="2"/>
      <c r="L127" s="2"/>
      <c r="M127" s="2"/>
      <c r="N127" s="2"/>
      <c r="O127" s="2"/>
      <c r="P127" s="2"/>
      <c r="Q127" s="2"/>
      <c r="R127" s="2"/>
      <c r="S127" s="2"/>
      <c r="T127" s="2"/>
      <c r="U127" s="2"/>
      <c r="V127" s="2"/>
      <c r="W127" s="2"/>
      <c r="X127" s="2"/>
      <c r="Y127" s="2"/>
      <c r="Z127" s="2"/>
    </row>
    <row r="128" spans="1:26" ht="18.75" customHeight="1" x14ac:dyDescent="0.3">
      <c r="B128" s="309" t="s">
        <v>103</v>
      </c>
      <c r="C128" s="307"/>
      <c r="D128" s="309"/>
      <c r="E128" s="311"/>
      <c r="F128" s="312"/>
      <c r="G128" s="309"/>
      <c r="H128" s="310"/>
      <c r="I128" s="32"/>
      <c r="J128" s="2"/>
      <c r="K128" s="2"/>
      <c r="L128" s="2"/>
      <c r="M128" s="2"/>
      <c r="N128" s="2"/>
      <c r="O128" s="2"/>
      <c r="P128" s="2"/>
      <c r="Q128" s="2"/>
      <c r="R128" s="2"/>
      <c r="S128" s="2"/>
      <c r="T128" s="2"/>
      <c r="U128" s="2"/>
      <c r="V128" s="2"/>
      <c r="W128" s="2"/>
      <c r="X128" s="2"/>
      <c r="Y128" s="2"/>
      <c r="Z128" s="2"/>
    </row>
    <row r="129" spans="1:26" s="43" customFormat="1" ht="36" customHeight="1" x14ac:dyDescent="0.3">
      <c r="A129" s="148"/>
      <c r="B129" s="8"/>
      <c r="C129" s="8"/>
      <c r="D129" s="8"/>
      <c r="E129" s="173" t="s">
        <v>104</v>
      </c>
      <c r="F129" s="173" t="s">
        <v>105</v>
      </c>
      <c r="G129" s="174" t="s">
        <v>106</v>
      </c>
      <c r="H129" s="174" t="s">
        <v>13</v>
      </c>
      <c r="I129" s="174" t="s">
        <v>14</v>
      </c>
      <c r="J129" s="8"/>
      <c r="K129" s="8"/>
      <c r="L129" s="8"/>
      <c r="M129" s="8"/>
      <c r="N129" s="8"/>
      <c r="O129" s="8"/>
      <c r="P129" s="8"/>
      <c r="Q129" s="8"/>
      <c r="R129" s="8"/>
      <c r="S129" s="8"/>
      <c r="T129" s="8"/>
      <c r="U129" s="8"/>
      <c r="V129" s="8"/>
      <c r="W129" s="8"/>
      <c r="X129" s="8"/>
      <c r="Y129" s="8"/>
      <c r="Z129" s="8"/>
    </row>
    <row r="130" spans="1:26" ht="18.75" customHeight="1" x14ac:dyDescent="0.3">
      <c r="A130" s="83" t="s">
        <v>382</v>
      </c>
      <c r="B130" s="2"/>
      <c r="C130" s="2"/>
      <c r="D130" s="2"/>
      <c r="E130" s="181">
        <v>5</v>
      </c>
      <c r="F130" s="182">
        <v>300</v>
      </c>
      <c r="G130" s="172">
        <f>E130*F130</f>
        <v>1500</v>
      </c>
      <c r="H130" s="32"/>
      <c r="I130" s="32"/>
      <c r="J130" s="2"/>
      <c r="K130" s="2"/>
      <c r="L130" s="2"/>
      <c r="M130" s="2"/>
      <c r="N130" s="2"/>
      <c r="O130" s="2"/>
      <c r="P130" s="2"/>
      <c r="Q130" s="2"/>
      <c r="R130" s="2"/>
      <c r="S130" s="2"/>
      <c r="T130" s="2"/>
      <c r="U130" s="2"/>
      <c r="V130" s="2"/>
      <c r="W130" s="2"/>
      <c r="X130" s="2"/>
      <c r="Y130" s="2"/>
      <c r="Z130" s="2"/>
    </row>
    <row r="131" spans="1:26" ht="18.75" customHeight="1" x14ac:dyDescent="0.3">
      <c r="A131" s="83" t="s">
        <v>381</v>
      </c>
      <c r="B131" s="2"/>
      <c r="C131" s="2"/>
      <c r="D131" s="2"/>
      <c r="E131" s="181">
        <v>5</v>
      </c>
      <c r="F131" s="182">
        <v>300</v>
      </c>
      <c r="G131" s="172">
        <f>E131*F131</f>
        <v>1500</v>
      </c>
      <c r="H131" s="32"/>
      <c r="I131" s="32"/>
      <c r="J131" s="2"/>
      <c r="K131" s="2"/>
      <c r="L131" s="2"/>
      <c r="M131" s="2"/>
      <c r="N131" s="2"/>
      <c r="O131" s="2"/>
      <c r="P131" s="2"/>
      <c r="Q131" s="2"/>
      <c r="R131" s="2"/>
      <c r="S131" s="2"/>
      <c r="T131" s="2"/>
      <c r="U131" s="2"/>
      <c r="V131" s="2"/>
      <c r="W131" s="2"/>
      <c r="X131" s="2"/>
      <c r="Y131" s="2"/>
      <c r="Z131" s="2"/>
    </row>
    <row r="132" spans="1:26" ht="18.75" customHeight="1" x14ac:dyDescent="0.3">
      <c r="A132" s="83" t="s">
        <v>107</v>
      </c>
      <c r="B132" s="2"/>
      <c r="C132" s="2"/>
      <c r="D132" s="2"/>
      <c r="E132" s="60">
        <v>17</v>
      </c>
      <c r="F132" s="183">
        <v>250</v>
      </c>
      <c r="G132" s="100">
        <f t="shared" ref="G132:G134" si="19">E132*F132</f>
        <v>4250</v>
      </c>
      <c r="H132" s="32"/>
      <c r="I132" s="32"/>
      <c r="J132" s="2"/>
      <c r="K132" s="2"/>
      <c r="L132" s="2"/>
      <c r="M132" s="2"/>
      <c r="N132" s="2"/>
      <c r="O132" s="2"/>
      <c r="P132" s="2"/>
      <c r="Q132" s="2"/>
      <c r="R132" s="2"/>
      <c r="S132" s="2"/>
      <c r="T132" s="2"/>
      <c r="U132" s="2"/>
      <c r="V132" s="2"/>
      <c r="W132" s="2"/>
      <c r="X132" s="2"/>
      <c r="Y132" s="2"/>
      <c r="Z132" s="2"/>
    </row>
    <row r="133" spans="1:26" ht="18.75" customHeight="1" x14ac:dyDescent="0.3">
      <c r="A133" s="83" t="s">
        <v>108</v>
      </c>
      <c r="B133" s="2"/>
      <c r="C133" s="2"/>
      <c r="D133" s="2"/>
      <c r="E133" s="60">
        <v>17</v>
      </c>
      <c r="F133" s="183">
        <v>200</v>
      </c>
      <c r="G133" s="100">
        <f t="shared" si="19"/>
        <v>3400</v>
      </c>
      <c r="H133" s="32"/>
      <c r="I133" s="32"/>
      <c r="J133" s="2"/>
      <c r="K133" s="2"/>
      <c r="L133" s="2"/>
      <c r="M133" s="2"/>
      <c r="N133" s="2"/>
      <c r="O133" s="2"/>
      <c r="P133" s="2"/>
      <c r="Q133" s="2"/>
      <c r="R133" s="2"/>
      <c r="S133" s="2"/>
      <c r="T133" s="2"/>
      <c r="U133" s="2"/>
      <c r="V133" s="2"/>
      <c r="W133" s="2"/>
      <c r="X133" s="2"/>
      <c r="Y133" s="2"/>
      <c r="Z133" s="2"/>
    </row>
    <row r="134" spans="1:26" ht="18.75" customHeight="1" x14ac:dyDescent="0.3">
      <c r="A134" s="83" t="s">
        <v>109</v>
      </c>
      <c r="B134" s="2"/>
      <c r="C134" s="2"/>
      <c r="D134" s="2"/>
      <c r="E134" s="60">
        <v>4</v>
      </c>
      <c r="F134" s="183">
        <v>125</v>
      </c>
      <c r="G134" s="100">
        <f t="shared" si="19"/>
        <v>500</v>
      </c>
      <c r="H134" s="32"/>
      <c r="I134" s="32"/>
      <c r="J134" s="2"/>
      <c r="K134" s="2"/>
      <c r="L134" s="2"/>
      <c r="M134" s="2"/>
      <c r="N134" s="2"/>
      <c r="O134" s="2"/>
      <c r="P134" s="2"/>
      <c r="Q134" s="2"/>
      <c r="R134" s="2"/>
      <c r="S134" s="2"/>
      <c r="T134" s="2"/>
      <c r="U134" s="2"/>
      <c r="V134" s="2"/>
      <c r="W134" s="2"/>
      <c r="X134" s="2"/>
      <c r="Y134" s="2"/>
      <c r="Z134" s="2"/>
    </row>
    <row r="135" spans="1:26" ht="18.75" customHeight="1" x14ac:dyDescent="0.3">
      <c r="A135" s="31" t="s">
        <v>110</v>
      </c>
      <c r="B135" s="2"/>
      <c r="C135" s="2"/>
      <c r="D135" s="2"/>
      <c r="E135" s="150">
        <f>SUM(E130:E134)</f>
        <v>48</v>
      </c>
      <c r="F135" s="56"/>
      <c r="G135" s="49">
        <f>SUM(G130:G134)</f>
        <v>11150</v>
      </c>
      <c r="H135" s="84"/>
      <c r="I135" s="149"/>
      <c r="J135" s="2"/>
      <c r="K135" s="2"/>
      <c r="L135" s="2"/>
      <c r="M135" s="2"/>
      <c r="N135" s="2"/>
      <c r="O135" s="2"/>
      <c r="P135" s="2"/>
      <c r="Q135" s="2"/>
      <c r="R135" s="2"/>
      <c r="S135" s="2"/>
      <c r="T135" s="2"/>
      <c r="U135" s="2"/>
      <c r="V135" s="2"/>
      <c r="W135" s="2"/>
      <c r="X135" s="2"/>
      <c r="Y135" s="2"/>
      <c r="Z135" s="2"/>
    </row>
    <row r="136" spans="1:26" ht="18.75" customHeight="1" x14ac:dyDescent="0.3">
      <c r="A136" s="31" t="s">
        <v>111</v>
      </c>
      <c r="B136" s="2"/>
      <c r="C136" s="2"/>
      <c r="D136" s="2"/>
      <c r="E136" s="2"/>
      <c r="F136" s="49">
        <f>G135/E135</f>
        <v>232.29166666666666</v>
      </c>
      <c r="G136" s="84"/>
      <c r="H136" s="84"/>
      <c r="I136" s="149"/>
      <c r="J136" s="2"/>
      <c r="K136" s="2"/>
      <c r="L136" s="2"/>
      <c r="M136" s="2"/>
      <c r="N136" s="2"/>
      <c r="O136" s="2"/>
      <c r="P136" s="2"/>
      <c r="Q136" s="2"/>
      <c r="R136" s="2"/>
      <c r="S136" s="2"/>
      <c r="T136" s="2"/>
      <c r="U136" s="2"/>
      <c r="V136" s="2"/>
      <c r="W136" s="2"/>
      <c r="X136" s="2"/>
      <c r="Y136" s="2"/>
      <c r="Z136" s="2"/>
    </row>
    <row r="137" spans="1:26" ht="18.75" customHeight="1" x14ac:dyDescent="0.3">
      <c r="A137" s="83" t="s">
        <v>112</v>
      </c>
      <c r="B137" s="2"/>
      <c r="C137" s="2"/>
      <c r="D137" s="31" t="s">
        <v>99</v>
      </c>
      <c r="E137" s="180">
        <v>0.01</v>
      </c>
      <c r="F137" s="2"/>
      <c r="G137" s="44">
        <f>G135*E137</f>
        <v>111.5</v>
      </c>
      <c r="H137" s="45">
        <f>G137/$H$8</f>
        <v>2.4777777777777779</v>
      </c>
      <c r="I137" s="46">
        <f>G137/($I$12)</f>
        <v>2.5340909090909091E-2</v>
      </c>
      <c r="J137" s="2"/>
      <c r="K137" s="2"/>
      <c r="L137" s="2"/>
      <c r="M137" s="2"/>
      <c r="N137" s="2"/>
      <c r="O137" s="2"/>
      <c r="P137" s="2"/>
      <c r="Q137" s="2"/>
      <c r="R137" s="2"/>
      <c r="S137" s="2"/>
      <c r="T137" s="2"/>
      <c r="U137" s="2"/>
      <c r="V137" s="2"/>
      <c r="W137" s="2"/>
      <c r="X137" s="2"/>
      <c r="Y137" s="2"/>
      <c r="Z137" s="2"/>
    </row>
    <row r="138" spans="1:26" ht="18.75" customHeight="1" x14ac:dyDescent="0.3">
      <c r="A138" s="83"/>
      <c r="I138" s="32"/>
      <c r="J138" s="2"/>
      <c r="K138" s="2"/>
      <c r="L138" s="2"/>
      <c r="M138" s="2"/>
      <c r="N138" s="2"/>
      <c r="O138" s="2"/>
      <c r="P138" s="2"/>
      <c r="Q138" s="2"/>
      <c r="R138" s="2"/>
      <c r="S138" s="2"/>
      <c r="T138" s="2"/>
      <c r="U138" s="2"/>
      <c r="V138" s="2"/>
      <c r="W138" s="2"/>
      <c r="X138" s="2"/>
      <c r="Y138" s="2"/>
      <c r="Z138" s="2"/>
    </row>
    <row r="139" spans="1:26" ht="18.75" customHeight="1" x14ac:dyDescent="0.3">
      <c r="A139" s="116" t="s">
        <v>113</v>
      </c>
      <c r="B139" s="115"/>
      <c r="C139" s="115"/>
      <c r="D139" s="115"/>
      <c r="E139" s="115"/>
      <c r="F139" s="115"/>
      <c r="G139" s="115"/>
      <c r="H139" s="115"/>
      <c r="I139" s="115"/>
      <c r="J139" s="2"/>
      <c r="K139" s="2"/>
      <c r="L139" s="2"/>
      <c r="M139" s="2"/>
      <c r="N139" s="2"/>
      <c r="O139" s="2"/>
      <c r="P139" s="2"/>
      <c r="Q139" s="2"/>
      <c r="R139" s="2"/>
      <c r="S139" s="2"/>
      <c r="T139" s="2"/>
      <c r="U139" s="2"/>
      <c r="V139" s="2"/>
      <c r="W139" s="2"/>
      <c r="X139" s="2"/>
      <c r="Y139" s="2"/>
      <c r="Z139" s="2"/>
    </row>
    <row r="140" spans="1:26" ht="56.25" customHeight="1" x14ac:dyDescent="0.3">
      <c r="A140" s="26" t="s">
        <v>114</v>
      </c>
      <c r="B140" s="175" t="s">
        <v>115</v>
      </c>
      <c r="C140" s="30" t="s">
        <v>116</v>
      </c>
      <c r="D140" s="10" t="s">
        <v>117</v>
      </c>
      <c r="E140" s="10" t="s">
        <v>118</v>
      </c>
      <c r="F140" s="145" t="s">
        <v>119</v>
      </c>
      <c r="G140" s="10" t="s">
        <v>120</v>
      </c>
      <c r="H140" s="5" t="s">
        <v>13</v>
      </c>
      <c r="I140" s="10" t="s">
        <v>14</v>
      </c>
      <c r="J140" s="8"/>
      <c r="K140" s="8"/>
      <c r="L140" s="8"/>
      <c r="M140" s="8"/>
      <c r="N140" s="8"/>
      <c r="O140" s="8"/>
      <c r="P140" s="8"/>
      <c r="Q140" s="8"/>
      <c r="R140" s="8"/>
      <c r="S140" s="8"/>
      <c r="T140" s="8"/>
      <c r="U140" s="8"/>
      <c r="V140" s="8"/>
      <c r="W140" s="8"/>
      <c r="X140" s="8"/>
      <c r="Y140" s="8"/>
      <c r="Z140" s="8"/>
    </row>
    <row r="141" spans="1:26" ht="18.75" customHeight="1" x14ac:dyDescent="0.35">
      <c r="A141" s="59" t="s">
        <v>121</v>
      </c>
      <c r="B141" s="188" t="s">
        <v>122</v>
      </c>
      <c r="C141" s="189">
        <v>2021</v>
      </c>
      <c r="D141" s="52">
        <v>450</v>
      </c>
      <c r="E141" s="51">
        <v>3</v>
      </c>
      <c r="F141" s="190">
        <v>120</v>
      </c>
      <c r="G141" s="16">
        <f>IFERROR((D141-F141)/E141,"")</f>
        <v>110</v>
      </c>
      <c r="H141" s="11">
        <f>IFERROR(G141/$H$8,"")</f>
        <v>2.4444444444444446</v>
      </c>
      <c r="I141" s="12">
        <f>IFERROR(G141/$I$12,"")</f>
        <v>2.5000000000000001E-2</v>
      </c>
      <c r="J141" s="2"/>
      <c r="K141" s="2"/>
      <c r="L141" s="2"/>
      <c r="M141" s="2"/>
      <c r="N141" s="2"/>
      <c r="O141" s="2"/>
      <c r="P141" s="2"/>
      <c r="Q141" s="2"/>
      <c r="R141" s="2"/>
      <c r="S141" s="2"/>
      <c r="T141" s="2"/>
      <c r="U141" s="2"/>
      <c r="V141" s="2"/>
      <c r="W141" s="2"/>
      <c r="X141" s="2"/>
      <c r="Y141" s="2"/>
      <c r="Z141" s="2"/>
    </row>
    <row r="142" spans="1:26" ht="18.75" customHeight="1" x14ac:dyDescent="0.35">
      <c r="A142" s="59"/>
      <c r="B142" s="188"/>
      <c r="C142" s="189"/>
      <c r="D142" s="52"/>
      <c r="E142" s="51"/>
      <c r="F142" s="190"/>
      <c r="G142" s="16" t="str">
        <f t="shared" ref="G142:G153" si="20">IFERROR((D142-F142)/E142,"")</f>
        <v/>
      </c>
      <c r="H142" s="11" t="str">
        <f t="shared" ref="H142:H153" si="21">IFERROR(G142/$H$8,"")</f>
        <v/>
      </c>
      <c r="I142" s="12" t="str">
        <f t="shared" ref="I142:I153" si="22">IFERROR(G142/$I$12,"")</f>
        <v/>
      </c>
      <c r="J142" s="2"/>
      <c r="K142" s="2"/>
      <c r="L142" s="2"/>
      <c r="M142" s="2"/>
      <c r="N142" s="2"/>
      <c r="O142" s="2"/>
      <c r="P142" s="2"/>
      <c r="Q142" s="2"/>
      <c r="R142" s="2"/>
      <c r="S142" s="2"/>
      <c r="T142" s="2"/>
      <c r="U142" s="2"/>
      <c r="V142" s="2"/>
      <c r="W142" s="2"/>
      <c r="X142" s="2"/>
      <c r="Y142" s="2"/>
      <c r="Z142" s="2"/>
    </row>
    <row r="143" spans="1:26" ht="18.75" customHeight="1" x14ac:dyDescent="0.35">
      <c r="A143" s="59" t="s">
        <v>123</v>
      </c>
      <c r="B143" s="188" t="s">
        <v>122</v>
      </c>
      <c r="C143" s="189">
        <v>2020</v>
      </c>
      <c r="D143" s="52">
        <v>350</v>
      </c>
      <c r="E143" s="51">
        <v>3</v>
      </c>
      <c r="F143" s="190">
        <v>120</v>
      </c>
      <c r="G143" s="16">
        <f t="shared" si="20"/>
        <v>76.666666666666671</v>
      </c>
      <c r="H143" s="11">
        <f t="shared" si="21"/>
        <v>1.7037037037037037</v>
      </c>
      <c r="I143" s="12">
        <f t="shared" si="22"/>
        <v>1.7424242424242425E-2</v>
      </c>
      <c r="J143" s="2"/>
      <c r="K143" s="2"/>
      <c r="L143" s="2"/>
      <c r="M143" s="2"/>
      <c r="N143" s="2"/>
      <c r="O143" s="2"/>
      <c r="P143" s="2"/>
      <c r="Q143" s="2"/>
      <c r="R143" s="2"/>
      <c r="S143" s="2"/>
      <c r="T143" s="2"/>
      <c r="U143" s="2"/>
      <c r="V143" s="2"/>
      <c r="W143" s="2"/>
      <c r="X143" s="2"/>
      <c r="Y143" s="2"/>
      <c r="Z143" s="2"/>
    </row>
    <row r="144" spans="1:26" ht="18.75" customHeight="1" x14ac:dyDescent="0.35">
      <c r="A144" s="191" t="s">
        <v>358</v>
      </c>
      <c r="B144" s="188" t="s">
        <v>122</v>
      </c>
      <c r="C144" s="189">
        <v>2022</v>
      </c>
      <c r="D144" s="52">
        <v>350</v>
      </c>
      <c r="E144" s="51">
        <v>3</v>
      </c>
      <c r="F144" s="190">
        <v>120</v>
      </c>
      <c r="G144" s="16">
        <f t="shared" si="20"/>
        <v>76.666666666666671</v>
      </c>
      <c r="H144" s="11">
        <f t="shared" si="21"/>
        <v>1.7037037037037037</v>
      </c>
      <c r="I144" s="12">
        <f t="shared" si="22"/>
        <v>1.7424242424242425E-2</v>
      </c>
      <c r="J144" s="2"/>
      <c r="K144" s="2"/>
      <c r="L144" s="2"/>
      <c r="M144" s="2"/>
      <c r="N144" s="2"/>
      <c r="O144" s="2"/>
      <c r="P144" s="2"/>
      <c r="Q144" s="2"/>
      <c r="R144" s="2"/>
      <c r="S144" s="2"/>
      <c r="T144" s="2"/>
      <c r="U144" s="2"/>
      <c r="V144" s="2"/>
      <c r="W144" s="2"/>
      <c r="X144" s="2"/>
      <c r="Y144" s="2"/>
      <c r="Z144" s="2"/>
    </row>
    <row r="145" spans="1:26" ht="18.75" customHeight="1" x14ac:dyDescent="0.35">
      <c r="A145" s="59"/>
      <c r="B145" s="188"/>
      <c r="C145" s="189"/>
      <c r="D145" s="52"/>
      <c r="E145" s="51"/>
      <c r="F145" s="190"/>
      <c r="G145" s="16" t="str">
        <f t="shared" si="20"/>
        <v/>
      </c>
      <c r="H145" s="11" t="str">
        <f t="shared" si="21"/>
        <v/>
      </c>
      <c r="I145" s="12" t="str">
        <f t="shared" si="22"/>
        <v/>
      </c>
      <c r="J145" s="2"/>
      <c r="K145" s="2"/>
      <c r="L145" s="2"/>
      <c r="M145" s="2"/>
      <c r="N145" s="2"/>
      <c r="O145" s="2"/>
      <c r="P145" s="2"/>
      <c r="Q145" s="2"/>
      <c r="R145" s="2"/>
      <c r="S145" s="2"/>
      <c r="T145" s="2"/>
      <c r="U145" s="2"/>
      <c r="V145" s="2"/>
      <c r="W145" s="2"/>
      <c r="X145" s="2"/>
      <c r="Y145" s="2"/>
      <c r="Z145" s="2"/>
    </row>
    <row r="146" spans="1:26" ht="18.75" customHeight="1" x14ac:dyDescent="0.35">
      <c r="A146" s="191" t="s">
        <v>124</v>
      </c>
      <c r="B146" s="188" t="s">
        <v>125</v>
      </c>
      <c r="C146" s="189">
        <v>2019</v>
      </c>
      <c r="D146" s="52">
        <v>600</v>
      </c>
      <c r="E146" s="51">
        <v>6</v>
      </c>
      <c r="F146" s="190">
        <v>190</v>
      </c>
      <c r="G146" s="16">
        <f t="shared" si="20"/>
        <v>68.333333333333329</v>
      </c>
      <c r="H146" s="11">
        <f t="shared" si="21"/>
        <v>1.5185185185185184</v>
      </c>
      <c r="I146" s="12">
        <f t="shared" si="22"/>
        <v>1.553030303030303E-2</v>
      </c>
      <c r="J146" s="2"/>
      <c r="K146" s="2"/>
      <c r="L146" s="2"/>
      <c r="M146" s="2"/>
      <c r="N146" s="2"/>
      <c r="O146" s="2"/>
      <c r="P146" s="2"/>
      <c r="Q146" s="2"/>
      <c r="R146" s="2"/>
      <c r="S146" s="2"/>
      <c r="T146" s="2"/>
      <c r="U146" s="2"/>
      <c r="V146" s="2"/>
      <c r="W146" s="2"/>
      <c r="X146" s="2"/>
      <c r="Y146" s="2"/>
      <c r="Z146" s="2"/>
    </row>
    <row r="147" spans="1:26" ht="18.75" customHeight="1" x14ac:dyDescent="0.35">
      <c r="A147" s="191"/>
      <c r="B147" s="188"/>
      <c r="C147" s="189"/>
      <c r="D147" s="52"/>
      <c r="E147" s="51"/>
      <c r="F147" s="190"/>
      <c r="G147" s="16" t="str">
        <f t="shared" si="20"/>
        <v/>
      </c>
      <c r="H147" s="11" t="str">
        <f t="shared" si="21"/>
        <v/>
      </c>
      <c r="I147" s="12" t="str">
        <f t="shared" si="22"/>
        <v/>
      </c>
      <c r="J147" s="2"/>
      <c r="K147" s="2"/>
      <c r="L147" s="2"/>
      <c r="M147" s="2"/>
      <c r="N147" s="2"/>
      <c r="O147" s="2"/>
      <c r="P147" s="2"/>
      <c r="Q147" s="2"/>
      <c r="R147" s="2"/>
      <c r="S147" s="2"/>
      <c r="T147" s="2"/>
      <c r="U147" s="2"/>
      <c r="V147" s="2"/>
      <c r="W147" s="2"/>
      <c r="X147" s="2"/>
      <c r="Y147" s="2"/>
      <c r="Z147" s="2"/>
    </row>
    <row r="148" spans="1:26" ht="18.75" customHeight="1" x14ac:dyDescent="0.35">
      <c r="A148" s="191"/>
      <c r="B148" s="188"/>
      <c r="C148" s="189"/>
      <c r="D148" s="52"/>
      <c r="E148" s="51"/>
      <c r="F148" s="190"/>
      <c r="G148" s="16" t="str">
        <f t="shared" si="20"/>
        <v/>
      </c>
      <c r="H148" s="11" t="str">
        <f t="shared" si="21"/>
        <v/>
      </c>
      <c r="I148" s="12" t="str">
        <f t="shared" si="22"/>
        <v/>
      </c>
      <c r="J148" s="2"/>
      <c r="K148" s="2"/>
      <c r="L148" s="2"/>
      <c r="M148" s="2"/>
      <c r="N148" s="2"/>
      <c r="O148" s="2"/>
      <c r="P148" s="2"/>
      <c r="Q148" s="2"/>
      <c r="R148" s="2"/>
      <c r="S148" s="2"/>
      <c r="T148" s="2"/>
      <c r="U148" s="2"/>
      <c r="V148" s="2"/>
      <c r="W148" s="2"/>
      <c r="X148" s="2"/>
      <c r="Y148" s="2"/>
      <c r="Z148" s="2"/>
    </row>
    <row r="149" spans="1:26" ht="18.75" customHeight="1" x14ac:dyDescent="0.35">
      <c r="A149" s="191"/>
      <c r="B149" s="188"/>
      <c r="C149" s="189"/>
      <c r="D149" s="52"/>
      <c r="E149" s="51"/>
      <c r="F149" s="190"/>
      <c r="G149" s="16" t="str">
        <f t="shared" si="20"/>
        <v/>
      </c>
      <c r="H149" s="11" t="str">
        <f t="shared" si="21"/>
        <v/>
      </c>
      <c r="I149" s="12" t="str">
        <f t="shared" si="22"/>
        <v/>
      </c>
      <c r="J149" s="2"/>
      <c r="K149" s="2"/>
      <c r="L149" s="2"/>
      <c r="M149" s="2"/>
      <c r="N149" s="2"/>
      <c r="O149" s="2"/>
      <c r="P149" s="2"/>
      <c r="Q149" s="2"/>
      <c r="R149" s="2"/>
      <c r="S149" s="2"/>
      <c r="T149" s="2"/>
      <c r="U149" s="2"/>
      <c r="V149" s="2"/>
      <c r="W149" s="2"/>
      <c r="X149" s="2"/>
      <c r="Y149" s="2"/>
      <c r="Z149" s="2"/>
    </row>
    <row r="150" spans="1:26" ht="18.75" customHeight="1" x14ac:dyDescent="0.35">
      <c r="A150" s="191"/>
      <c r="B150" s="188"/>
      <c r="C150" s="189"/>
      <c r="D150" s="52"/>
      <c r="E150" s="51"/>
      <c r="F150" s="190"/>
      <c r="G150" s="16" t="str">
        <f t="shared" si="20"/>
        <v/>
      </c>
      <c r="H150" s="11" t="str">
        <f t="shared" si="21"/>
        <v/>
      </c>
      <c r="I150" s="12" t="str">
        <f t="shared" si="22"/>
        <v/>
      </c>
      <c r="J150" s="2"/>
      <c r="K150" s="2"/>
      <c r="L150" s="2"/>
      <c r="M150" s="2"/>
      <c r="N150" s="2"/>
      <c r="O150" s="2"/>
      <c r="P150" s="2"/>
      <c r="Q150" s="2"/>
      <c r="R150" s="2"/>
      <c r="S150" s="2"/>
      <c r="T150" s="2"/>
      <c r="U150" s="2"/>
      <c r="V150" s="2"/>
      <c r="W150" s="2"/>
      <c r="X150" s="2"/>
      <c r="Y150" s="2"/>
      <c r="Z150" s="2"/>
    </row>
    <row r="151" spans="1:26" ht="18.75" customHeight="1" x14ac:dyDescent="0.35">
      <c r="A151" s="191"/>
      <c r="B151" s="188"/>
      <c r="C151" s="189"/>
      <c r="D151" s="52"/>
      <c r="E151" s="51"/>
      <c r="F151" s="190"/>
      <c r="G151" s="16" t="str">
        <f t="shared" si="20"/>
        <v/>
      </c>
      <c r="H151" s="11" t="str">
        <f t="shared" si="21"/>
        <v/>
      </c>
      <c r="I151" s="12" t="str">
        <f t="shared" si="22"/>
        <v/>
      </c>
      <c r="J151" s="2"/>
      <c r="K151" s="2"/>
      <c r="L151" s="2"/>
      <c r="M151" s="2"/>
      <c r="N151" s="2"/>
      <c r="O151" s="2"/>
      <c r="P151" s="2"/>
      <c r="Q151" s="2"/>
      <c r="R151" s="2"/>
      <c r="S151" s="2"/>
      <c r="T151" s="2"/>
      <c r="U151" s="2"/>
      <c r="V151" s="2"/>
      <c r="W151" s="2"/>
      <c r="X151" s="2"/>
      <c r="Y151" s="2"/>
      <c r="Z151" s="2"/>
    </row>
    <row r="152" spans="1:26" ht="18.75" customHeight="1" x14ac:dyDescent="0.35">
      <c r="A152" s="59"/>
      <c r="B152" s="188"/>
      <c r="C152" s="189"/>
      <c r="D152" s="52"/>
      <c r="E152" s="51"/>
      <c r="F152" s="190"/>
      <c r="G152" s="16" t="str">
        <f t="shared" si="20"/>
        <v/>
      </c>
      <c r="H152" s="11" t="str">
        <f t="shared" si="21"/>
        <v/>
      </c>
      <c r="I152" s="12" t="str">
        <f t="shared" si="22"/>
        <v/>
      </c>
      <c r="J152" s="2"/>
      <c r="K152" s="2"/>
      <c r="L152" s="2"/>
      <c r="M152" s="2"/>
      <c r="N152" s="2"/>
      <c r="O152" s="2"/>
      <c r="P152" s="2"/>
      <c r="Q152" s="2"/>
      <c r="R152" s="2"/>
      <c r="S152" s="2"/>
      <c r="T152" s="2"/>
      <c r="U152" s="2"/>
      <c r="V152" s="2"/>
      <c r="W152" s="2"/>
      <c r="X152" s="2"/>
      <c r="Y152" s="2"/>
      <c r="Z152" s="2"/>
    </row>
    <row r="153" spans="1:26" ht="18.75" customHeight="1" x14ac:dyDescent="0.35">
      <c r="A153" s="192"/>
      <c r="B153" s="188"/>
      <c r="C153" s="189"/>
      <c r="D153" s="62"/>
      <c r="E153" s="51"/>
      <c r="F153" s="193"/>
      <c r="G153" s="16" t="str">
        <f t="shared" si="20"/>
        <v/>
      </c>
      <c r="H153" s="11" t="str">
        <f t="shared" si="21"/>
        <v/>
      </c>
      <c r="I153" s="12" t="str">
        <f t="shared" si="22"/>
        <v/>
      </c>
      <c r="J153" s="2"/>
      <c r="K153" s="2"/>
      <c r="L153" s="2"/>
      <c r="M153" s="2"/>
      <c r="N153" s="2"/>
      <c r="O153" s="2"/>
      <c r="P153" s="2"/>
      <c r="Q153" s="2"/>
      <c r="R153" s="2"/>
      <c r="S153" s="2"/>
      <c r="T153" s="2"/>
      <c r="U153" s="2"/>
      <c r="V153" s="2"/>
      <c r="W153" s="2"/>
      <c r="X153" s="2"/>
      <c r="Y153" s="2"/>
      <c r="Z153" s="2"/>
    </row>
    <row r="154" spans="1:26" ht="18.75" customHeight="1" x14ac:dyDescent="0.3">
      <c r="A154" s="127" t="s">
        <v>126</v>
      </c>
      <c r="B154" s="135"/>
      <c r="C154" s="24"/>
      <c r="D154" s="44">
        <f>SUM(D141:D153)</f>
        <v>1750</v>
      </c>
      <c r="E154" s="156"/>
      <c r="F154" s="44">
        <f>SUM(F146:F153)</f>
        <v>190</v>
      </c>
      <c r="G154" s="157">
        <f t="shared" ref="G154:I154" si="23">SUM(G141:G153)</f>
        <v>331.66666666666669</v>
      </c>
      <c r="H154" s="158">
        <f t="shared" si="23"/>
        <v>7.3703703703703711</v>
      </c>
      <c r="I154" s="159">
        <f t="shared" si="23"/>
        <v>7.5378787878787878E-2</v>
      </c>
      <c r="J154" s="1"/>
      <c r="K154" s="1"/>
      <c r="L154" s="1"/>
      <c r="M154" s="1"/>
      <c r="N154" s="1"/>
      <c r="O154" s="1"/>
      <c r="P154" s="1"/>
      <c r="Q154" s="1"/>
      <c r="R154" s="1"/>
      <c r="S154" s="1"/>
      <c r="T154" s="1"/>
      <c r="U154" s="1"/>
      <c r="V154" s="1"/>
      <c r="W154" s="1"/>
      <c r="X154" s="1"/>
      <c r="Y154" s="1"/>
      <c r="Z154" s="1"/>
    </row>
    <row r="155" spans="1:26" ht="18.75" customHeight="1" x14ac:dyDescent="0.3">
      <c r="A155" s="31" t="s">
        <v>127</v>
      </c>
      <c r="B155" s="31"/>
      <c r="C155" s="2"/>
      <c r="D155" s="31" t="s">
        <v>99</v>
      </c>
      <c r="E155" s="179">
        <v>0.01</v>
      </c>
      <c r="F155" s="149"/>
      <c r="G155" s="49">
        <f>((D154+F154)/2)*E155</f>
        <v>9.7000000000000011</v>
      </c>
      <c r="H155" s="50">
        <f>G155/$H$8</f>
        <v>0.21555555555555558</v>
      </c>
      <c r="I155" s="41">
        <f>G155/($I$12)</f>
        <v>2.2045454545454547E-3</v>
      </c>
      <c r="J155" s="2"/>
      <c r="K155" s="2"/>
      <c r="L155" s="2"/>
      <c r="M155" s="2"/>
      <c r="N155" s="2"/>
      <c r="O155" s="2"/>
      <c r="P155" s="2"/>
      <c r="Q155" s="2"/>
      <c r="R155" s="2"/>
      <c r="S155" s="2"/>
      <c r="T155" s="2"/>
      <c r="U155" s="2"/>
      <c r="V155" s="2"/>
      <c r="W155" s="2"/>
      <c r="X155" s="2"/>
      <c r="Y155" s="2"/>
      <c r="Z155" s="2"/>
    </row>
    <row r="156" spans="1:26" ht="18.75" customHeight="1" x14ac:dyDescent="0.3">
      <c r="A156" s="31"/>
      <c r="B156" s="31"/>
      <c r="C156" s="2"/>
      <c r="D156" s="54"/>
      <c r="E156" s="177"/>
      <c r="F156" s="149"/>
      <c r="G156" s="84"/>
      <c r="H156" s="84"/>
      <c r="I156" s="84"/>
      <c r="J156" s="2"/>
      <c r="K156" s="2"/>
      <c r="L156" s="2"/>
      <c r="M156" s="2"/>
      <c r="N156" s="2"/>
      <c r="O156" s="2"/>
      <c r="P156" s="2"/>
      <c r="Q156" s="2"/>
      <c r="R156" s="2"/>
      <c r="S156" s="2"/>
      <c r="T156" s="2"/>
      <c r="U156" s="2"/>
      <c r="V156" s="2"/>
      <c r="W156" s="2"/>
      <c r="X156" s="2"/>
      <c r="Y156" s="2"/>
      <c r="Z156" s="2"/>
    </row>
    <row r="157" spans="1:26" ht="18.75" customHeight="1" x14ac:dyDescent="0.3">
      <c r="A157" s="31"/>
      <c r="B157" s="31"/>
      <c r="C157" s="2"/>
      <c r="D157" s="54"/>
      <c r="E157" s="177"/>
      <c r="F157" s="149"/>
      <c r="G157" s="84"/>
      <c r="H157" s="84"/>
      <c r="I157" s="84"/>
      <c r="J157" s="2"/>
      <c r="K157" s="2"/>
      <c r="L157" s="2"/>
      <c r="M157" s="2"/>
      <c r="N157" s="2"/>
      <c r="O157" s="2"/>
      <c r="P157" s="2"/>
      <c r="Q157" s="2"/>
      <c r="R157" s="2"/>
      <c r="S157" s="2"/>
      <c r="T157" s="2"/>
      <c r="U157" s="2"/>
      <c r="V157" s="2"/>
      <c r="W157" s="2"/>
      <c r="X157" s="2"/>
      <c r="Y157" s="2"/>
      <c r="Z157" s="2"/>
    </row>
    <row r="158" spans="1:26" ht="18.75" customHeight="1" x14ac:dyDescent="0.3">
      <c r="A158" s="31"/>
      <c r="B158" s="31"/>
      <c r="C158" s="2"/>
      <c r="D158" s="54"/>
      <c r="E158" s="177"/>
      <c r="F158" s="149"/>
      <c r="G158" s="84"/>
      <c r="H158" s="84"/>
      <c r="I158" s="84"/>
      <c r="J158" s="2"/>
      <c r="K158" s="2"/>
      <c r="L158" s="2"/>
      <c r="M158" s="2"/>
      <c r="N158" s="2"/>
      <c r="O158" s="2"/>
      <c r="P158" s="2"/>
      <c r="Q158" s="2"/>
      <c r="R158" s="2"/>
      <c r="S158" s="2"/>
      <c r="T158" s="2"/>
      <c r="U158" s="2"/>
      <c r="V158" s="2"/>
      <c r="W158" s="2"/>
      <c r="X158" s="2"/>
      <c r="Y158" s="2"/>
      <c r="Z158" s="2"/>
    </row>
    <row r="159" spans="1:26" ht="18.75" customHeight="1" x14ac:dyDescent="0.3">
      <c r="A159" s="31"/>
      <c r="B159" s="31"/>
      <c r="C159" s="2"/>
      <c r="D159" s="54"/>
      <c r="E159" s="177"/>
      <c r="F159" s="149"/>
      <c r="G159" s="84"/>
      <c r="H159" s="84"/>
      <c r="I159" s="84"/>
      <c r="J159" s="2"/>
      <c r="K159" s="2"/>
      <c r="L159" s="2"/>
      <c r="M159" s="2"/>
      <c r="N159" s="2"/>
      <c r="O159" s="2"/>
      <c r="P159" s="2"/>
      <c r="Q159" s="2"/>
      <c r="R159" s="2"/>
      <c r="S159" s="2"/>
      <c r="T159" s="2"/>
      <c r="U159" s="2"/>
      <c r="V159" s="2"/>
      <c r="W159" s="2"/>
      <c r="X159" s="2"/>
      <c r="Y159" s="2"/>
      <c r="Z159" s="2"/>
    </row>
    <row r="160" spans="1:26" ht="18.75" customHeight="1" x14ac:dyDescent="0.3">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8.75" customHeight="1" x14ac:dyDescent="0.3">
      <c r="A161" s="116" t="s">
        <v>128</v>
      </c>
      <c r="B161" s="115"/>
      <c r="C161" s="115"/>
      <c r="D161" s="115"/>
      <c r="E161" s="115"/>
      <c r="F161" s="115"/>
      <c r="G161" s="115"/>
      <c r="H161" s="115"/>
      <c r="I161" s="115"/>
      <c r="J161" s="2"/>
      <c r="K161" s="2"/>
      <c r="L161" s="2"/>
      <c r="M161" s="2"/>
      <c r="N161" s="2"/>
      <c r="O161" s="2"/>
      <c r="P161" s="2"/>
      <c r="Q161" s="2"/>
      <c r="R161" s="2"/>
      <c r="S161" s="2"/>
      <c r="T161" s="2"/>
      <c r="U161" s="2"/>
      <c r="V161" s="2"/>
      <c r="W161" s="2"/>
      <c r="X161" s="2"/>
      <c r="Y161" s="2"/>
      <c r="Z161" s="2"/>
    </row>
    <row r="162" spans="1:26" ht="56.25" customHeight="1" x14ac:dyDescent="0.3">
      <c r="A162" s="9" t="s">
        <v>63</v>
      </c>
      <c r="B162" s="93" t="s">
        <v>129</v>
      </c>
      <c r="C162" s="10" t="s">
        <v>130</v>
      </c>
      <c r="D162" s="93" t="s">
        <v>131</v>
      </c>
      <c r="E162" s="93" t="s">
        <v>132</v>
      </c>
      <c r="F162" s="10" t="s">
        <v>369</v>
      </c>
      <c r="G162" s="93" t="s">
        <v>133</v>
      </c>
      <c r="H162" s="5" t="s">
        <v>13</v>
      </c>
      <c r="I162" s="10" t="s">
        <v>14</v>
      </c>
      <c r="J162" s="8"/>
      <c r="K162" s="8"/>
      <c r="L162" s="8"/>
      <c r="M162" s="8"/>
      <c r="N162" s="8"/>
      <c r="O162" s="8"/>
      <c r="P162" s="8"/>
      <c r="Q162" s="8"/>
      <c r="R162" s="8"/>
      <c r="S162" s="8"/>
      <c r="T162" s="8"/>
      <c r="U162" s="8"/>
      <c r="V162" s="8"/>
      <c r="W162" s="8"/>
      <c r="X162" s="8"/>
      <c r="Y162" s="8"/>
      <c r="Z162" s="8"/>
    </row>
    <row r="163" spans="1:26" ht="18.75" customHeight="1" x14ac:dyDescent="0.3">
      <c r="A163" s="51" t="s">
        <v>134</v>
      </c>
      <c r="B163" s="52">
        <v>9000</v>
      </c>
      <c r="C163" s="51">
        <v>12</v>
      </c>
      <c r="D163" s="52">
        <v>1200</v>
      </c>
      <c r="E163" s="16">
        <f>IFERROR((B163-D163)/C163,"")</f>
        <v>650</v>
      </c>
      <c r="F163" s="146">
        <v>0.5</v>
      </c>
      <c r="G163" s="16">
        <f>IFERROR(E163*F163,"")</f>
        <v>325</v>
      </c>
      <c r="H163" s="11">
        <f>IFERROR(G163/$H$8,"")</f>
        <v>7.2222222222222223</v>
      </c>
      <c r="I163" s="12">
        <f>IFERROR(G163/$I$12,"")</f>
        <v>7.3863636363636367E-2</v>
      </c>
      <c r="J163" s="2"/>
      <c r="K163" s="2"/>
      <c r="L163" s="2"/>
      <c r="M163" s="2"/>
      <c r="N163" s="2"/>
      <c r="O163" s="2"/>
      <c r="P163" s="2"/>
      <c r="Q163" s="2"/>
      <c r="R163" s="2"/>
      <c r="S163" s="2"/>
      <c r="T163" s="2"/>
      <c r="U163" s="2"/>
      <c r="V163" s="2"/>
      <c r="W163" s="2"/>
      <c r="X163" s="2"/>
      <c r="Y163" s="2"/>
      <c r="Z163" s="2"/>
    </row>
    <row r="164" spans="1:26" ht="18.75" customHeight="1" x14ac:dyDescent="0.3">
      <c r="A164" s="51" t="s">
        <v>135</v>
      </c>
      <c r="B164" s="52">
        <v>22500</v>
      </c>
      <c r="C164" s="51">
        <v>15</v>
      </c>
      <c r="D164" s="52">
        <v>7000</v>
      </c>
      <c r="E164" s="16">
        <f t="shared" ref="E164:E181" si="24">IFERROR((B164-D164)/C164,"")</f>
        <v>1033.3333333333333</v>
      </c>
      <c r="F164" s="146">
        <v>0.3</v>
      </c>
      <c r="G164" s="16">
        <f t="shared" ref="G164:G181" si="25">IFERROR(E164*F164,"")</f>
        <v>309.99999999999994</v>
      </c>
      <c r="H164" s="11">
        <f t="shared" ref="H164:H181" si="26">IFERROR(G164/$H$8,"")</f>
        <v>6.8888888888888875</v>
      </c>
      <c r="I164" s="12">
        <f t="shared" ref="I164:I181" si="27">IFERROR(G164/$I$12,"")</f>
        <v>7.0454545454545436E-2</v>
      </c>
      <c r="J164" s="2"/>
      <c r="K164" s="2"/>
      <c r="L164" s="2"/>
      <c r="M164" s="2"/>
      <c r="N164" s="2"/>
      <c r="O164" s="2"/>
      <c r="P164" s="2"/>
      <c r="Q164" s="2"/>
      <c r="R164" s="2"/>
      <c r="S164" s="2"/>
      <c r="T164" s="2"/>
      <c r="U164" s="2"/>
      <c r="V164" s="2"/>
      <c r="W164" s="2"/>
      <c r="X164" s="2"/>
      <c r="Y164" s="2"/>
      <c r="Z164" s="2"/>
    </row>
    <row r="165" spans="1:26" ht="18.75" customHeight="1" x14ac:dyDescent="0.3">
      <c r="A165" s="51" t="s">
        <v>136</v>
      </c>
      <c r="B165" s="52">
        <v>10000</v>
      </c>
      <c r="C165" s="51">
        <v>12</v>
      </c>
      <c r="D165" s="52">
        <v>1800</v>
      </c>
      <c r="E165" s="16">
        <f t="shared" si="24"/>
        <v>683.33333333333337</v>
      </c>
      <c r="F165" s="146">
        <v>0.45</v>
      </c>
      <c r="G165" s="16">
        <f t="shared" si="25"/>
        <v>307.5</v>
      </c>
      <c r="H165" s="11">
        <f t="shared" si="26"/>
        <v>6.833333333333333</v>
      </c>
      <c r="I165" s="12">
        <f t="shared" si="27"/>
        <v>6.9886363636363635E-2</v>
      </c>
      <c r="J165" s="2"/>
      <c r="K165" s="2"/>
      <c r="L165" s="2"/>
      <c r="M165" s="2"/>
      <c r="N165" s="2"/>
      <c r="O165" s="2"/>
      <c r="P165" s="2"/>
      <c r="Q165" s="2"/>
      <c r="R165" s="2"/>
      <c r="S165" s="2"/>
      <c r="T165" s="2"/>
      <c r="U165" s="2"/>
      <c r="V165" s="2"/>
      <c r="W165" s="2"/>
      <c r="X165" s="2"/>
      <c r="Y165" s="2"/>
      <c r="Z165" s="2"/>
    </row>
    <row r="166" spans="1:26" ht="18.75" customHeight="1" x14ac:dyDescent="0.3">
      <c r="A166" s="51" t="s">
        <v>137</v>
      </c>
      <c r="B166" s="52">
        <v>24000</v>
      </c>
      <c r="C166" s="51">
        <v>8</v>
      </c>
      <c r="D166" s="52">
        <v>5000</v>
      </c>
      <c r="E166" s="16">
        <f t="shared" si="24"/>
        <v>2375</v>
      </c>
      <c r="F166" s="146">
        <v>0.1</v>
      </c>
      <c r="G166" s="16">
        <f t="shared" si="25"/>
        <v>237.5</v>
      </c>
      <c r="H166" s="11">
        <f t="shared" si="26"/>
        <v>5.2777777777777777</v>
      </c>
      <c r="I166" s="12">
        <f t="shared" si="27"/>
        <v>5.3977272727272728E-2</v>
      </c>
      <c r="J166" s="2"/>
      <c r="K166" s="2"/>
      <c r="L166" s="2"/>
      <c r="M166" s="2"/>
      <c r="N166" s="2"/>
      <c r="O166" s="2"/>
      <c r="P166" s="2"/>
      <c r="Q166" s="2"/>
      <c r="R166" s="2"/>
      <c r="S166" s="2"/>
      <c r="T166" s="2"/>
      <c r="U166" s="2"/>
      <c r="V166" s="2"/>
      <c r="W166" s="2"/>
      <c r="X166" s="2"/>
      <c r="Y166" s="2"/>
      <c r="Z166" s="2"/>
    </row>
    <row r="167" spans="1:26" ht="18.75" customHeight="1" x14ac:dyDescent="0.3">
      <c r="A167" s="51" t="s">
        <v>138</v>
      </c>
      <c r="B167" s="52">
        <v>9500</v>
      </c>
      <c r="C167" s="51">
        <v>12</v>
      </c>
      <c r="D167" s="52">
        <v>1500</v>
      </c>
      <c r="E167" s="16">
        <f t="shared" si="24"/>
        <v>666.66666666666663</v>
      </c>
      <c r="F167" s="146">
        <v>0.4</v>
      </c>
      <c r="G167" s="16">
        <f t="shared" si="25"/>
        <v>266.66666666666669</v>
      </c>
      <c r="H167" s="11">
        <f t="shared" si="26"/>
        <v>5.9259259259259265</v>
      </c>
      <c r="I167" s="12">
        <f t="shared" si="27"/>
        <v>6.0606060606060608E-2</v>
      </c>
      <c r="J167" s="2"/>
      <c r="K167" s="2"/>
      <c r="L167" s="2"/>
      <c r="M167" s="2"/>
      <c r="N167" s="2"/>
      <c r="O167" s="2"/>
      <c r="P167" s="2"/>
      <c r="Q167" s="2"/>
      <c r="R167" s="2"/>
      <c r="S167" s="2"/>
      <c r="T167" s="2"/>
      <c r="U167" s="2"/>
      <c r="V167" s="2"/>
      <c r="W167" s="2"/>
      <c r="X167" s="2"/>
      <c r="Y167" s="2"/>
      <c r="Z167" s="2"/>
    </row>
    <row r="168" spans="1:26" ht="18.75" customHeight="1" x14ac:dyDescent="0.3">
      <c r="A168" s="51" t="s">
        <v>139</v>
      </c>
      <c r="B168" s="52">
        <v>2500</v>
      </c>
      <c r="C168" s="51">
        <v>10</v>
      </c>
      <c r="D168" s="52">
        <v>500</v>
      </c>
      <c r="E168" s="16">
        <f t="shared" si="24"/>
        <v>200</v>
      </c>
      <c r="F168" s="146">
        <v>1</v>
      </c>
      <c r="G168" s="16">
        <f t="shared" si="25"/>
        <v>200</v>
      </c>
      <c r="H168" s="11">
        <f t="shared" si="26"/>
        <v>4.4444444444444446</v>
      </c>
      <c r="I168" s="12">
        <f t="shared" si="27"/>
        <v>4.5454545454545456E-2</v>
      </c>
      <c r="J168" s="2"/>
      <c r="K168" s="2"/>
      <c r="L168" s="2"/>
      <c r="M168" s="2"/>
      <c r="N168" s="2"/>
      <c r="O168" s="2"/>
      <c r="P168" s="2"/>
      <c r="Q168" s="2"/>
      <c r="R168" s="2"/>
      <c r="S168" s="2"/>
      <c r="T168" s="2"/>
      <c r="U168" s="2"/>
      <c r="V168" s="2"/>
      <c r="W168" s="2"/>
      <c r="X168" s="2"/>
      <c r="Y168" s="2"/>
      <c r="Z168" s="2"/>
    </row>
    <row r="169" spans="1:26" ht="18.75" customHeight="1" x14ac:dyDescent="0.3">
      <c r="A169" s="51" t="s">
        <v>140</v>
      </c>
      <c r="B169" s="52">
        <v>1000</v>
      </c>
      <c r="C169" s="51">
        <v>8</v>
      </c>
      <c r="D169" s="52">
        <v>0</v>
      </c>
      <c r="E169" s="16">
        <f t="shared" si="24"/>
        <v>125</v>
      </c>
      <c r="F169" s="146">
        <v>1</v>
      </c>
      <c r="G169" s="16">
        <f t="shared" si="25"/>
        <v>125</v>
      </c>
      <c r="H169" s="11">
        <f t="shared" si="26"/>
        <v>2.7777777777777777</v>
      </c>
      <c r="I169" s="12">
        <f t="shared" si="27"/>
        <v>2.8409090909090908E-2</v>
      </c>
      <c r="J169" s="2"/>
      <c r="K169" s="2"/>
      <c r="L169" s="2"/>
      <c r="M169" s="2"/>
      <c r="N169" s="2"/>
      <c r="O169" s="2"/>
      <c r="P169" s="2"/>
      <c r="Q169" s="2"/>
      <c r="R169" s="2"/>
      <c r="S169" s="2"/>
      <c r="T169" s="2"/>
      <c r="U169" s="2"/>
      <c r="V169" s="2"/>
      <c r="W169" s="2"/>
      <c r="X169" s="2"/>
      <c r="Y169" s="2"/>
      <c r="Z169" s="2"/>
    </row>
    <row r="170" spans="1:26" ht="18.75" customHeight="1" x14ac:dyDescent="0.3">
      <c r="A170" s="51"/>
      <c r="B170" s="52"/>
      <c r="C170" s="51"/>
      <c r="D170" s="52"/>
      <c r="E170" s="16" t="str">
        <f t="shared" si="24"/>
        <v/>
      </c>
      <c r="F170" s="146"/>
      <c r="G170" s="16" t="str">
        <f t="shared" si="25"/>
        <v/>
      </c>
      <c r="H170" s="11" t="str">
        <f t="shared" si="26"/>
        <v/>
      </c>
      <c r="I170" s="12" t="str">
        <f t="shared" si="27"/>
        <v/>
      </c>
      <c r="J170" s="2"/>
      <c r="K170" s="2"/>
      <c r="L170" s="2"/>
      <c r="M170" s="2"/>
      <c r="N170" s="2"/>
      <c r="O170" s="2"/>
      <c r="P170" s="2"/>
      <c r="Q170" s="2"/>
      <c r="R170" s="2"/>
      <c r="S170" s="2"/>
      <c r="T170" s="2"/>
      <c r="U170" s="2"/>
      <c r="V170" s="2"/>
      <c r="W170" s="2"/>
      <c r="X170" s="2"/>
      <c r="Y170" s="2"/>
      <c r="Z170" s="2"/>
    </row>
    <row r="171" spans="1:26" ht="18.75" customHeight="1" x14ac:dyDescent="0.3">
      <c r="A171" s="51"/>
      <c r="B171" s="52"/>
      <c r="C171" s="51"/>
      <c r="D171" s="52"/>
      <c r="E171" s="16" t="str">
        <f t="shared" si="24"/>
        <v/>
      </c>
      <c r="F171" s="146"/>
      <c r="G171" s="16" t="str">
        <f t="shared" si="25"/>
        <v/>
      </c>
      <c r="H171" s="11" t="str">
        <f t="shared" si="26"/>
        <v/>
      </c>
      <c r="I171" s="12" t="str">
        <f t="shared" si="27"/>
        <v/>
      </c>
      <c r="J171" s="2"/>
      <c r="K171" s="2"/>
      <c r="L171" s="2"/>
      <c r="M171" s="2"/>
      <c r="N171" s="2"/>
      <c r="O171" s="2"/>
      <c r="P171" s="2"/>
      <c r="Q171" s="2"/>
      <c r="R171" s="2"/>
      <c r="S171" s="2"/>
      <c r="T171" s="2"/>
      <c r="U171" s="2"/>
      <c r="V171" s="2"/>
      <c r="W171" s="2"/>
      <c r="X171" s="2"/>
      <c r="Y171" s="2"/>
      <c r="Z171" s="2"/>
    </row>
    <row r="172" spans="1:26" ht="18.75" customHeight="1" x14ac:dyDescent="0.3">
      <c r="A172" s="51"/>
      <c r="B172" s="52"/>
      <c r="C172" s="51"/>
      <c r="D172" s="52"/>
      <c r="E172" s="16" t="str">
        <f t="shared" si="24"/>
        <v/>
      </c>
      <c r="F172" s="146"/>
      <c r="G172" s="16" t="str">
        <f t="shared" si="25"/>
        <v/>
      </c>
      <c r="H172" s="11" t="str">
        <f t="shared" si="26"/>
        <v/>
      </c>
      <c r="I172" s="12" t="str">
        <f t="shared" si="27"/>
        <v/>
      </c>
      <c r="J172" s="2"/>
      <c r="K172" s="2"/>
      <c r="L172" s="2"/>
      <c r="M172" s="2"/>
      <c r="N172" s="2"/>
      <c r="O172" s="2"/>
      <c r="P172" s="2"/>
      <c r="Q172" s="2"/>
      <c r="R172" s="2"/>
      <c r="S172" s="2"/>
      <c r="T172" s="2"/>
      <c r="U172" s="2"/>
      <c r="V172" s="2"/>
      <c r="W172" s="2"/>
      <c r="X172" s="2"/>
      <c r="Y172" s="2"/>
      <c r="Z172" s="2"/>
    </row>
    <row r="173" spans="1:26" ht="18.75" customHeight="1" x14ac:dyDescent="0.3">
      <c r="A173" s="51"/>
      <c r="B173" s="52"/>
      <c r="C173" s="51"/>
      <c r="D173" s="52"/>
      <c r="E173" s="16" t="str">
        <f t="shared" si="24"/>
        <v/>
      </c>
      <c r="F173" s="146"/>
      <c r="G173" s="16" t="str">
        <f t="shared" si="25"/>
        <v/>
      </c>
      <c r="H173" s="11" t="str">
        <f t="shared" si="26"/>
        <v/>
      </c>
      <c r="I173" s="12" t="str">
        <f t="shared" si="27"/>
        <v/>
      </c>
      <c r="J173" s="2"/>
      <c r="K173" s="2"/>
      <c r="L173" s="2"/>
      <c r="M173" s="2"/>
      <c r="N173" s="2"/>
      <c r="O173" s="2"/>
      <c r="P173" s="2"/>
      <c r="Q173" s="2"/>
      <c r="R173" s="2"/>
      <c r="S173" s="2"/>
      <c r="T173" s="2"/>
      <c r="U173" s="2"/>
      <c r="V173" s="2"/>
      <c r="W173" s="2"/>
      <c r="X173" s="2"/>
      <c r="Y173" s="2"/>
      <c r="Z173" s="2"/>
    </row>
    <row r="174" spans="1:26" ht="18.75" customHeight="1" x14ac:dyDescent="0.3">
      <c r="A174" s="51"/>
      <c r="B174" s="52"/>
      <c r="C174" s="51"/>
      <c r="D174" s="52"/>
      <c r="E174" s="16" t="str">
        <f t="shared" si="24"/>
        <v/>
      </c>
      <c r="F174" s="146"/>
      <c r="G174" s="16" t="str">
        <f t="shared" si="25"/>
        <v/>
      </c>
      <c r="H174" s="11" t="str">
        <f t="shared" si="26"/>
        <v/>
      </c>
      <c r="I174" s="12" t="str">
        <f t="shared" si="27"/>
        <v/>
      </c>
      <c r="J174" s="2"/>
      <c r="K174" s="2"/>
      <c r="L174" s="2"/>
      <c r="M174" s="2"/>
      <c r="N174" s="2"/>
      <c r="O174" s="2"/>
      <c r="P174" s="2"/>
      <c r="Q174" s="2"/>
      <c r="R174" s="2"/>
      <c r="S174" s="2"/>
      <c r="T174" s="2"/>
      <c r="U174" s="2"/>
      <c r="V174" s="2"/>
      <c r="W174" s="2"/>
      <c r="X174" s="2"/>
      <c r="Y174" s="2"/>
      <c r="Z174" s="2"/>
    </row>
    <row r="175" spans="1:26" ht="18.75" customHeight="1" x14ac:dyDescent="0.3">
      <c r="A175" s="51"/>
      <c r="B175" s="52"/>
      <c r="C175" s="51"/>
      <c r="D175" s="52"/>
      <c r="E175" s="16" t="str">
        <f t="shared" si="24"/>
        <v/>
      </c>
      <c r="F175" s="146"/>
      <c r="G175" s="16" t="str">
        <f t="shared" si="25"/>
        <v/>
      </c>
      <c r="H175" s="11" t="str">
        <f t="shared" si="26"/>
        <v/>
      </c>
      <c r="I175" s="12" t="str">
        <f t="shared" si="27"/>
        <v/>
      </c>
      <c r="J175" s="2"/>
      <c r="K175" s="2"/>
      <c r="L175" s="2"/>
      <c r="M175" s="2"/>
      <c r="N175" s="2"/>
      <c r="O175" s="2"/>
      <c r="P175" s="2"/>
      <c r="Q175" s="2"/>
      <c r="R175" s="2"/>
      <c r="S175" s="2"/>
      <c r="T175" s="2"/>
      <c r="U175" s="2"/>
      <c r="V175" s="2"/>
      <c r="W175" s="2"/>
      <c r="X175" s="2"/>
      <c r="Y175" s="2"/>
      <c r="Z175" s="2"/>
    </row>
    <row r="176" spans="1:26" ht="18.75" customHeight="1" x14ac:dyDescent="0.3">
      <c r="A176" s="51"/>
      <c r="B176" s="52"/>
      <c r="C176" s="51"/>
      <c r="D176" s="52"/>
      <c r="E176" s="16" t="str">
        <f t="shared" si="24"/>
        <v/>
      </c>
      <c r="F176" s="146"/>
      <c r="G176" s="16" t="str">
        <f t="shared" si="25"/>
        <v/>
      </c>
      <c r="H176" s="11" t="str">
        <f t="shared" si="26"/>
        <v/>
      </c>
      <c r="I176" s="12" t="str">
        <f t="shared" si="27"/>
        <v/>
      </c>
      <c r="J176" s="2"/>
      <c r="K176" s="2"/>
      <c r="L176" s="2"/>
      <c r="M176" s="2"/>
      <c r="N176" s="2"/>
      <c r="O176" s="2"/>
      <c r="P176" s="2"/>
      <c r="Q176" s="2"/>
      <c r="R176" s="2"/>
      <c r="S176" s="2"/>
      <c r="T176" s="2"/>
      <c r="U176" s="2"/>
      <c r="V176" s="2"/>
      <c r="W176" s="2"/>
      <c r="X176" s="2"/>
      <c r="Y176" s="2"/>
      <c r="Z176" s="2"/>
    </row>
    <row r="177" spans="1:26" ht="18.75" customHeight="1" x14ac:dyDescent="0.3">
      <c r="A177" s="51"/>
      <c r="B177" s="52"/>
      <c r="C177" s="51"/>
      <c r="D177" s="52"/>
      <c r="E177" s="16" t="str">
        <f t="shared" si="24"/>
        <v/>
      </c>
      <c r="F177" s="146"/>
      <c r="G177" s="16" t="str">
        <f t="shared" si="25"/>
        <v/>
      </c>
      <c r="H177" s="11" t="str">
        <f t="shared" si="26"/>
        <v/>
      </c>
      <c r="I177" s="12" t="str">
        <f t="shared" si="27"/>
        <v/>
      </c>
      <c r="J177" s="2"/>
      <c r="K177" s="2"/>
      <c r="L177" s="2"/>
      <c r="M177" s="2"/>
      <c r="N177" s="2"/>
      <c r="O177" s="2"/>
      <c r="P177" s="2"/>
      <c r="Q177" s="2"/>
      <c r="R177" s="2"/>
      <c r="S177" s="2"/>
      <c r="T177" s="2"/>
      <c r="U177" s="2"/>
      <c r="V177" s="2"/>
      <c r="W177" s="2"/>
      <c r="X177" s="2"/>
      <c r="Y177" s="2"/>
      <c r="Z177" s="2"/>
    </row>
    <row r="178" spans="1:26" ht="18.75" customHeight="1" x14ac:dyDescent="0.3">
      <c r="A178" s="51"/>
      <c r="B178" s="52"/>
      <c r="C178" s="51"/>
      <c r="D178" s="52"/>
      <c r="E178" s="16" t="str">
        <f t="shared" si="24"/>
        <v/>
      </c>
      <c r="F178" s="146"/>
      <c r="G178" s="16" t="str">
        <f t="shared" si="25"/>
        <v/>
      </c>
      <c r="H178" s="11" t="str">
        <f t="shared" si="26"/>
        <v/>
      </c>
      <c r="I178" s="12" t="str">
        <f t="shared" si="27"/>
        <v/>
      </c>
      <c r="J178" s="2"/>
      <c r="K178" s="2"/>
      <c r="L178" s="2"/>
      <c r="M178" s="2"/>
      <c r="N178" s="2"/>
      <c r="O178" s="2"/>
      <c r="P178" s="2"/>
      <c r="Q178" s="2"/>
      <c r="R178" s="2"/>
      <c r="S178" s="2"/>
      <c r="T178" s="2"/>
      <c r="U178" s="2"/>
      <c r="V178" s="2"/>
      <c r="W178" s="2"/>
      <c r="X178" s="2"/>
      <c r="Y178" s="2"/>
      <c r="Z178" s="2"/>
    </row>
    <row r="179" spans="1:26" ht="18.75" customHeight="1" x14ac:dyDescent="0.3">
      <c r="A179" s="51"/>
      <c r="B179" s="52"/>
      <c r="C179" s="51"/>
      <c r="D179" s="52"/>
      <c r="E179" s="16" t="str">
        <f t="shared" si="24"/>
        <v/>
      </c>
      <c r="F179" s="146"/>
      <c r="G179" s="16" t="str">
        <f t="shared" si="25"/>
        <v/>
      </c>
      <c r="H179" s="11" t="str">
        <f t="shared" si="26"/>
        <v/>
      </c>
      <c r="I179" s="12" t="str">
        <f t="shared" si="27"/>
        <v/>
      </c>
      <c r="J179" s="2"/>
      <c r="K179" s="2"/>
      <c r="L179" s="2"/>
      <c r="M179" s="2"/>
      <c r="N179" s="2"/>
      <c r="O179" s="2"/>
      <c r="P179" s="2"/>
      <c r="Q179" s="2"/>
      <c r="R179" s="2"/>
      <c r="S179" s="2"/>
      <c r="T179" s="2"/>
      <c r="U179" s="2"/>
      <c r="V179" s="2"/>
      <c r="W179" s="2"/>
      <c r="X179" s="2"/>
      <c r="Y179" s="2"/>
      <c r="Z179" s="2"/>
    </row>
    <row r="180" spans="1:26" ht="18.75" customHeight="1" x14ac:dyDescent="0.3">
      <c r="A180" s="51"/>
      <c r="B180" s="52"/>
      <c r="C180" s="51"/>
      <c r="D180" s="52"/>
      <c r="E180" s="16" t="str">
        <f t="shared" si="24"/>
        <v/>
      </c>
      <c r="F180" s="146"/>
      <c r="G180" s="16" t="str">
        <f t="shared" si="25"/>
        <v/>
      </c>
      <c r="H180" s="11" t="str">
        <f t="shared" si="26"/>
        <v/>
      </c>
      <c r="I180" s="12" t="str">
        <f t="shared" si="27"/>
        <v/>
      </c>
      <c r="J180" s="2"/>
      <c r="K180" s="2"/>
      <c r="L180" s="2"/>
      <c r="M180" s="2"/>
      <c r="N180" s="2"/>
      <c r="O180" s="2"/>
      <c r="P180" s="2"/>
      <c r="Q180" s="2"/>
      <c r="R180" s="2"/>
      <c r="S180" s="2"/>
      <c r="T180" s="2"/>
      <c r="U180" s="2"/>
      <c r="V180" s="2"/>
      <c r="W180" s="2"/>
      <c r="X180" s="2"/>
      <c r="Y180" s="2"/>
      <c r="Z180" s="2"/>
    </row>
    <row r="181" spans="1:26" ht="18.75" customHeight="1" x14ac:dyDescent="0.3">
      <c r="A181" s="51"/>
      <c r="B181" s="62"/>
      <c r="C181" s="61"/>
      <c r="D181" s="62"/>
      <c r="E181" s="66" t="str">
        <f t="shared" si="24"/>
        <v/>
      </c>
      <c r="F181" s="147"/>
      <c r="G181" s="66" t="str">
        <f t="shared" si="25"/>
        <v/>
      </c>
      <c r="H181" s="11" t="str">
        <f t="shared" si="26"/>
        <v/>
      </c>
      <c r="I181" s="12" t="str">
        <f t="shared" si="27"/>
        <v/>
      </c>
      <c r="J181" s="2"/>
      <c r="K181" s="2"/>
      <c r="L181" s="2"/>
      <c r="M181" s="2"/>
      <c r="N181" s="2"/>
      <c r="O181" s="2"/>
      <c r="P181" s="2"/>
      <c r="Q181" s="2"/>
      <c r="R181" s="2"/>
      <c r="S181" s="2"/>
      <c r="T181" s="2"/>
      <c r="U181" s="2"/>
      <c r="V181" s="2"/>
      <c r="W181" s="2"/>
      <c r="X181" s="2"/>
      <c r="Y181" s="2"/>
      <c r="Z181" s="2"/>
    </row>
    <row r="182" spans="1:26" s="48" customFormat="1" ht="18.75" customHeight="1" x14ac:dyDescent="0.3">
      <c r="A182" s="65" t="s">
        <v>126</v>
      </c>
      <c r="B182" s="49">
        <f>SUM(B163:B181)</f>
        <v>78500</v>
      </c>
      <c r="C182" s="136"/>
      <c r="D182" s="49">
        <f>SUM(D163:D181)</f>
        <v>17000</v>
      </c>
      <c r="E182" s="137"/>
      <c r="F182" s="136"/>
      <c r="G182" s="161">
        <f>SUM(G163:G181)</f>
        <v>1771.6666666666667</v>
      </c>
      <c r="H182" s="162">
        <f>SUM(H163:H181)</f>
        <v>39.370370370370367</v>
      </c>
      <c r="I182" s="160">
        <f>SUM(I163:I181)</f>
        <v>0.40265151515151509</v>
      </c>
      <c r="J182" s="31"/>
      <c r="K182" s="31"/>
      <c r="L182" s="31"/>
      <c r="M182" s="31"/>
      <c r="N182" s="31"/>
      <c r="O182" s="31"/>
      <c r="P182" s="31"/>
      <c r="Q182" s="31"/>
      <c r="R182" s="31"/>
      <c r="S182" s="31"/>
      <c r="T182" s="31"/>
      <c r="U182" s="31"/>
      <c r="V182" s="31"/>
      <c r="W182" s="31"/>
      <c r="X182" s="31"/>
      <c r="Y182" s="31"/>
      <c r="Z182" s="31"/>
    </row>
    <row r="183" spans="1:26" ht="18.75" customHeight="1" x14ac:dyDescent="0.3">
      <c r="A183" s="31" t="s">
        <v>141</v>
      </c>
      <c r="B183" s="2"/>
      <c r="C183" s="2"/>
      <c r="D183" s="54" t="s">
        <v>99</v>
      </c>
      <c r="E183" s="180">
        <v>0.01</v>
      </c>
      <c r="F183" s="2"/>
      <c r="G183" s="49">
        <f>((B182+D182)/2)*E183</f>
        <v>477.5</v>
      </c>
      <c r="H183" s="50">
        <f>G183/$H$8</f>
        <v>10.611111111111111</v>
      </c>
      <c r="I183" s="41">
        <f>G183/($I$12)</f>
        <v>0.10852272727272727</v>
      </c>
      <c r="J183" s="2"/>
      <c r="K183" s="2"/>
      <c r="L183" s="2"/>
      <c r="M183" s="2"/>
      <c r="N183" s="2"/>
      <c r="O183" s="2"/>
      <c r="P183" s="2"/>
      <c r="Q183" s="2"/>
      <c r="R183" s="2"/>
      <c r="S183" s="2"/>
      <c r="T183" s="2"/>
      <c r="U183" s="2"/>
      <c r="V183" s="2"/>
      <c r="W183" s="2"/>
      <c r="X183" s="2"/>
      <c r="Y183" s="2"/>
      <c r="Z183" s="2"/>
    </row>
    <row r="184" spans="1:26" ht="18.75" customHeight="1" x14ac:dyDescent="0.3">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8.75" customHeight="1" x14ac:dyDescent="0.3">
      <c r="A185" s="116" t="s">
        <v>142</v>
      </c>
      <c r="B185" s="114"/>
      <c r="C185" s="115"/>
      <c r="D185" s="115"/>
      <c r="E185" s="115"/>
      <c r="F185" s="115"/>
      <c r="G185" s="115"/>
      <c r="H185" s="115"/>
      <c r="I185" s="115"/>
      <c r="J185" s="2"/>
      <c r="K185" s="2"/>
      <c r="L185" s="2"/>
      <c r="M185" s="2"/>
      <c r="N185" s="2"/>
      <c r="O185" s="2"/>
      <c r="P185" s="2"/>
      <c r="Q185" s="2"/>
      <c r="R185" s="2"/>
      <c r="S185" s="2"/>
      <c r="T185" s="2"/>
      <c r="U185" s="2"/>
      <c r="V185" s="2"/>
      <c r="W185" s="2"/>
      <c r="X185" s="2"/>
      <c r="Y185" s="2"/>
      <c r="Z185" s="2"/>
    </row>
    <row r="186" spans="1:26" ht="56.25" customHeight="1" x14ac:dyDescent="0.3">
      <c r="A186" s="9" t="s">
        <v>63</v>
      </c>
      <c r="B186" s="93" t="s">
        <v>143</v>
      </c>
      <c r="C186" s="93" t="s">
        <v>144</v>
      </c>
      <c r="D186" s="10"/>
      <c r="E186" s="10" t="s">
        <v>132</v>
      </c>
      <c r="F186" s="10" t="s">
        <v>369</v>
      </c>
      <c r="G186" s="10" t="s">
        <v>133</v>
      </c>
      <c r="H186" s="5" t="s">
        <v>13</v>
      </c>
      <c r="I186" s="10" t="s">
        <v>14</v>
      </c>
      <c r="J186" s="8"/>
      <c r="K186" s="8"/>
      <c r="L186" s="8"/>
      <c r="M186" s="8"/>
      <c r="N186" s="8"/>
      <c r="O186" s="8"/>
      <c r="P186" s="8"/>
      <c r="Q186" s="8"/>
      <c r="R186" s="8"/>
      <c r="S186" s="8"/>
      <c r="T186" s="8"/>
      <c r="U186" s="8"/>
      <c r="V186" s="8"/>
      <c r="W186" s="8"/>
      <c r="X186" s="8"/>
      <c r="Y186" s="8"/>
      <c r="Z186" s="8"/>
    </row>
    <row r="187" spans="1:26" ht="18.75" customHeight="1" x14ac:dyDescent="0.3">
      <c r="A187" s="51" t="s">
        <v>145</v>
      </c>
      <c r="B187" s="52">
        <v>25000</v>
      </c>
      <c r="C187" s="51">
        <v>30</v>
      </c>
      <c r="D187" s="3"/>
      <c r="E187" s="16">
        <f>IFERROR(B187/C187,"")</f>
        <v>833.33333333333337</v>
      </c>
      <c r="F187" s="146">
        <v>0.2</v>
      </c>
      <c r="G187" s="16">
        <f>IFERROR(E187*F187,"")</f>
        <v>166.66666666666669</v>
      </c>
      <c r="H187" s="11">
        <f t="shared" ref="H187:H196" si="28">IFERROR(G187/$H$8,"")</f>
        <v>3.7037037037037042</v>
      </c>
      <c r="I187" s="12">
        <f>IFERROR(G187/$I$12,"")</f>
        <v>3.787878787878788E-2</v>
      </c>
      <c r="J187" s="2"/>
      <c r="K187" s="2"/>
      <c r="L187" s="2"/>
      <c r="M187" s="2"/>
      <c r="N187" s="2"/>
      <c r="O187" s="2"/>
      <c r="P187" s="2"/>
      <c r="Q187" s="2"/>
      <c r="R187" s="2"/>
      <c r="S187" s="2"/>
      <c r="T187" s="2"/>
      <c r="U187" s="2"/>
      <c r="V187" s="2"/>
      <c r="W187" s="2"/>
      <c r="X187" s="2"/>
      <c r="Y187" s="2"/>
      <c r="Z187" s="2"/>
    </row>
    <row r="188" spans="1:26" ht="18.75" customHeight="1" x14ac:dyDescent="0.3">
      <c r="A188" s="51" t="s">
        <v>146</v>
      </c>
      <c r="B188" s="52">
        <v>29000</v>
      </c>
      <c r="C188" s="51">
        <v>25</v>
      </c>
      <c r="D188" s="3"/>
      <c r="E188" s="16">
        <f t="shared" ref="E188:E196" si="29">IFERROR(B188/C188,"")</f>
        <v>1160</v>
      </c>
      <c r="F188" s="146">
        <v>0.5</v>
      </c>
      <c r="G188" s="16">
        <f t="shared" ref="G188:G196" si="30">IFERROR(E188*F188,"")</f>
        <v>580</v>
      </c>
      <c r="H188" s="11">
        <f t="shared" si="28"/>
        <v>12.888888888888889</v>
      </c>
      <c r="I188" s="12">
        <f t="shared" ref="I188:I196" si="31">IFERROR(G188/$I$12,"")</f>
        <v>0.13181818181818181</v>
      </c>
      <c r="J188" s="2"/>
      <c r="K188" s="2"/>
      <c r="L188" s="2"/>
      <c r="M188" s="2"/>
      <c r="N188" s="2"/>
      <c r="O188" s="2"/>
      <c r="P188" s="2"/>
      <c r="Q188" s="2"/>
      <c r="R188" s="2"/>
      <c r="S188" s="2"/>
      <c r="T188" s="2"/>
      <c r="U188" s="2"/>
      <c r="V188" s="2"/>
      <c r="W188" s="2"/>
      <c r="X188" s="2"/>
      <c r="Y188" s="2"/>
      <c r="Z188" s="2"/>
    </row>
    <row r="189" spans="1:26" ht="18.75" customHeight="1" x14ac:dyDescent="0.3">
      <c r="A189" s="51" t="s">
        <v>147</v>
      </c>
      <c r="B189" s="52">
        <v>40000</v>
      </c>
      <c r="C189" s="51">
        <v>25</v>
      </c>
      <c r="D189" s="3"/>
      <c r="E189" s="16">
        <f t="shared" si="29"/>
        <v>1600</v>
      </c>
      <c r="F189" s="146">
        <v>0.25</v>
      </c>
      <c r="G189" s="16">
        <f t="shared" si="30"/>
        <v>400</v>
      </c>
      <c r="H189" s="11">
        <f t="shared" si="28"/>
        <v>8.8888888888888893</v>
      </c>
      <c r="I189" s="12">
        <f t="shared" si="31"/>
        <v>9.0909090909090912E-2</v>
      </c>
      <c r="J189" s="2"/>
      <c r="K189" s="2"/>
      <c r="L189" s="2"/>
      <c r="M189" s="2"/>
      <c r="N189" s="2"/>
      <c r="O189" s="2"/>
      <c r="P189" s="2"/>
      <c r="Q189" s="2"/>
      <c r="R189" s="2"/>
      <c r="S189" s="2"/>
      <c r="T189" s="2"/>
      <c r="U189" s="2"/>
      <c r="V189" s="2"/>
      <c r="W189" s="2"/>
      <c r="X189" s="2"/>
      <c r="Y189" s="2"/>
      <c r="Z189" s="2"/>
    </row>
    <row r="190" spans="1:26" ht="18.75" customHeight="1" x14ac:dyDescent="0.3">
      <c r="A190" s="51"/>
      <c r="B190" s="52"/>
      <c r="C190" s="51"/>
      <c r="D190" s="3"/>
      <c r="E190" s="16" t="str">
        <f t="shared" si="29"/>
        <v/>
      </c>
      <c r="F190" s="146"/>
      <c r="G190" s="16" t="str">
        <f t="shared" si="30"/>
        <v/>
      </c>
      <c r="H190" s="11" t="str">
        <f t="shared" si="28"/>
        <v/>
      </c>
      <c r="I190" s="12" t="str">
        <f t="shared" si="31"/>
        <v/>
      </c>
      <c r="J190" s="2"/>
      <c r="K190" s="2"/>
      <c r="L190" s="2"/>
      <c r="M190" s="2"/>
      <c r="N190" s="2"/>
      <c r="O190" s="2"/>
      <c r="P190" s="2"/>
      <c r="Q190" s="2"/>
      <c r="R190" s="2"/>
      <c r="S190" s="2"/>
      <c r="T190" s="2"/>
      <c r="U190" s="2"/>
      <c r="V190" s="2"/>
      <c r="W190" s="2"/>
      <c r="X190" s="2"/>
      <c r="Y190" s="2"/>
      <c r="Z190" s="2"/>
    </row>
    <row r="191" spans="1:26" ht="18.75" customHeight="1" x14ac:dyDescent="0.3">
      <c r="A191" s="51"/>
      <c r="B191" s="52"/>
      <c r="C191" s="51"/>
      <c r="D191" s="3"/>
      <c r="E191" s="16" t="str">
        <f t="shared" si="29"/>
        <v/>
      </c>
      <c r="F191" s="146"/>
      <c r="G191" s="16" t="str">
        <f t="shared" si="30"/>
        <v/>
      </c>
      <c r="H191" s="11" t="str">
        <f t="shared" si="28"/>
        <v/>
      </c>
      <c r="I191" s="12" t="str">
        <f t="shared" si="31"/>
        <v/>
      </c>
      <c r="J191" s="2"/>
      <c r="K191" s="2"/>
      <c r="L191" s="2"/>
      <c r="M191" s="2"/>
      <c r="N191" s="2"/>
      <c r="O191" s="2"/>
      <c r="P191" s="2"/>
      <c r="Q191" s="2"/>
      <c r="R191" s="2"/>
      <c r="S191" s="2"/>
      <c r="T191" s="2"/>
      <c r="U191" s="2"/>
      <c r="V191" s="2"/>
      <c r="W191" s="2"/>
      <c r="X191" s="2"/>
      <c r="Y191" s="2"/>
      <c r="Z191" s="2"/>
    </row>
    <row r="192" spans="1:26" ht="18.75" customHeight="1" x14ac:dyDescent="0.3">
      <c r="A192" s="51"/>
      <c r="B192" s="52"/>
      <c r="C192" s="51"/>
      <c r="D192" s="3"/>
      <c r="E192" s="16" t="str">
        <f t="shared" si="29"/>
        <v/>
      </c>
      <c r="F192" s="146"/>
      <c r="G192" s="16" t="str">
        <f t="shared" si="30"/>
        <v/>
      </c>
      <c r="H192" s="11" t="str">
        <f t="shared" si="28"/>
        <v/>
      </c>
      <c r="I192" s="12" t="str">
        <f t="shared" si="31"/>
        <v/>
      </c>
      <c r="J192" s="2"/>
      <c r="K192" s="2"/>
      <c r="L192" s="2"/>
      <c r="M192" s="2"/>
      <c r="N192" s="2"/>
      <c r="O192" s="2"/>
      <c r="P192" s="2"/>
      <c r="Q192" s="2"/>
      <c r="R192" s="2"/>
      <c r="S192" s="2"/>
      <c r="T192" s="2"/>
      <c r="U192" s="2"/>
      <c r="V192" s="2"/>
      <c r="W192" s="2"/>
      <c r="X192" s="2"/>
      <c r="Y192" s="2"/>
      <c r="Z192" s="2"/>
    </row>
    <row r="193" spans="1:26" ht="18.75" customHeight="1" x14ac:dyDescent="0.3">
      <c r="A193" s="51"/>
      <c r="B193" s="52"/>
      <c r="C193" s="51"/>
      <c r="D193" s="3"/>
      <c r="E193" s="16" t="str">
        <f t="shared" si="29"/>
        <v/>
      </c>
      <c r="F193" s="146"/>
      <c r="G193" s="16" t="str">
        <f t="shared" si="30"/>
        <v/>
      </c>
      <c r="H193" s="11" t="str">
        <f t="shared" si="28"/>
        <v/>
      </c>
      <c r="I193" s="12" t="str">
        <f t="shared" si="31"/>
        <v/>
      </c>
      <c r="J193" s="2"/>
      <c r="K193" s="2"/>
      <c r="L193" s="2"/>
      <c r="M193" s="2"/>
      <c r="N193" s="2"/>
      <c r="O193" s="2"/>
      <c r="P193" s="2"/>
      <c r="Q193" s="2"/>
      <c r="R193" s="2"/>
      <c r="S193" s="2"/>
      <c r="T193" s="2"/>
      <c r="U193" s="2"/>
      <c r="V193" s="2"/>
      <c r="W193" s="2"/>
      <c r="X193" s="2"/>
      <c r="Y193" s="2"/>
      <c r="Z193" s="2"/>
    </row>
    <row r="194" spans="1:26" ht="18.75" customHeight="1" x14ac:dyDescent="0.3">
      <c r="A194" s="51"/>
      <c r="B194" s="52"/>
      <c r="C194" s="51"/>
      <c r="D194" s="3"/>
      <c r="E194" s="16" t="str">
        <f t="shared" si="29"/>
        <v/>
      </c>
      <c r="F194" s="146"/>
      <c r="G194" s="16" t="str">
        <f t="shared" si="30"/>
        <v/>
      </c>
      <c r="H194" s="11" t="str">
        <f t="shared" si="28"/>
        <v/>
      </c>
      <c r="I194" s="12" t="str">
        <f t="shared" si="31"/>
        <v/>
      </c>
      <c r="J194" s="2"/>
      <c r="K194" s="2"/>
      <c r="L194" s="2"/>
      <c r="M194" s="2"/>
      <c r="N194" s="2"/>
      <c r="O194" s="2"/>
      <c r="P194" s="2"/>
      <c r="Q194" s="2"/>
      <c r="R194" s="2"/>
      <c r="S194" s="2"/>
      <c r="T194" s="2"/>
      <c r="U194" s="2"/>
      <c r="V194" s="2"/>
      <c r="W194" s="2"/>
      <c r="X194" s="2"/>
      <c r="Y194" s="2"/>
      <c r="Z194" s="2"/>
    </row>
    <row r="195" spans="1:26" ht="18.75" customHeight="1" x14ac:dyDescent="0.3">
      <c r="A195" s="51"/>
      <c r="B195" s="52"/>
      <c r="C195" s="51"/>
      <c r="D195" s="58"/>
      <c r="E195" s="16" t="str">
        <f t="shared" si="29"/>
        <v/>
      </c>
      <c r="F195" s="146"/>
      <c r="G195" s="16" t="str">
        <f t="shared" si="30"/>
        <v/>
      </c>
      <c r="H195" s="11" t="str">
        <f t="shared" si="28"/>
        <v/>
      </c>
      <c r="I195" s="12" t="str">
        <f t="shared" si="31"/>
        <v/>
      </c>
      <c r="J195" s="2"/>
      <c r="K195" s="2"/>
      <c r="L195" s="2"/>
      <c r="M195" s="2"/>
      <c r="N195" s="2"/>
      <c r="O195" s="2"/>
      <c r="P195" s="2"/>
      <c r="Q195" s="2"/>
      <c r="R195" s="2"/>
      <c r="S195" s="2"/>
      <c r="T195" s="2"/>
      <c r="U195" s="2"/>
      <c r="V195" s="2"/>
      <c r="W195" s="2"/>
      <c r="X195" s="2"/>
      <c r="Y195" s="2"/>
      <c r="Z195" s="2"/>
    </row>
    <row r="196" spans="1:26" ht="18.75" customHeight="1" x14ac:dyDescent="0.3">
      <c r="A196" s="51"/>
      <c r="B196" s="62"/>
      <c r="C196" s="59"/>
      <c r="D196" s="55"/>
      <c r="E196" s="184" t="str">
        <f t="shared" si="29"/>
        <v/>
      </c>
      <c r="F196" s="146"/>
      <c r="G196" s="16" t="str">
        <f t="shared" si="30"/>
        <v/>
      </c>
      <c r="H196" s="11" t="str">
        <f t="shared" si="28"/>
        <v/>
      </c>
      <c r="I196" s="12" t="str">
        <f t="shared" si="31"/>
        <v/>
      </c>
      <c r="J196" s="2"/>
      <c r="K196" s="2"/>
      <c r="L196" s="2"/>
      <c r="M196" s="2"/>
      <c r="N196" s="2"/>
      <c r="O196" s="2"/>
      <c r="P196" s="2"/>
      <c r="Q196" s="2"/>
      <c r="R196" s="2"/>
      <c r="S196" s="2"/>
      <c r="T196" s="2"/>
      <c r="U196" s="2"/>
      <c r="V196" s="2"/>
      <c r="W196" s="2"/>
      <c r="X196" s="2"/>
      <c r="Y196" s="2"/>
      <c r="Z196" s="2"/>
    </row>
    <row r="197" spans="1:26" s="48" customFormat="1" ht="18.75" customHeight="1" x14ac:dyDescent="0.3">
      <c r="A197" s="68" t="s">
        <v>148</v>
      </c>
      <c r="B197" s="49">
        <f>SUM(B187:B196)</f>
        <v>94000</v>
      </c>
      <c r="C197" s="63"/>
      <c r="D197" s="67"/>
      <c r="E197" s="169"/>
      <c r="F197" s="64"/>
      <c r="G197" s="185">
        <f>SUM(G187:G196)</f>
        <v>1146.6666666666667</v>
      </c>
      <c r="H197" s="186">
        <f>SUM(H187:H196)</f>
        <v>25.481481481481485</v>
      </c>
      <c r="I197" s="160">
        <f>SUM(I187:I196)</f>
        <v>0.26060606060606062</v>
      </c>
      <c r="J197" s="31"/>
      <c r="K197" s="31"/>
      <c r="L197" s="31"/>
      <c r="M197" s="31"/>
      <c r="N197" s="31"/>
      <c r="O197" s="31"/>
      <c r="P197" s="31"/>
      <c r="Q197" s="31"/>
      <c r="R197" s="31"/>
      <c r="S197" s="31"/>
      <c r="T197" s="31"/>
      <c r="U197" s="31"/>
      <c r="V197" s="31"/>
      <c r="W197" s="31"/>
      <c r="X197" s="31"/>
      <c r="Y197" s="31"/>
      <c r="Z197" s="31"/>
    </row>
    <row r="198" spans="1:26" s="48" customFormat="1" ht="18.75" customHeight="1" x14ac:dyDescent="0.3">
      <c r="A198" s="31" t="s">
        <v>149</v>
      </c>
      <c r="B198" s="163"/>
      <c r="C198" s="152"/>
      <c r="D198" s="31" t="s">
        <v>150</v>
      </c>
      <c r="E198" s="180">
        <v>0.01</v>
      </c>
      <c r="F198" s="152"/>
      <c r="G198" s="49">
        <f>(B197/2)*E198</f>
        <v>470</v>
      </c>
      <c r="H198" s="50">
        <f>G198/$H$8</f>
        <v>10.444444444444445</v>
      </c>
      <c r="I198" s="187">
        <f>G198/($I$12)</f>
        <v>0.10681818181818181</v>
      </c>
      <c r="J198" s="31"/>
      <c r="K198" s="31"/>
      <c r="L198" s="31"/>
      <c r="M198" s="31"/>
      <c r="N198" s="31"/>
      <c r="O198" s="31"/>
      <c r="P198" s="31"/>
      <c r="Q198" s="31"/>
      <c r="R198" s="31"/>
      <c r="S198" s="31"/>
      <c r="T198" s="31"/>
      <c r="U198" s="31"/>
      <c r="V198" s="31"/>
      <c r="W198" s="31"/>
      <c r="X198" s="31"/>
      <c r="Y198" s="31"/>
      <c r="Z198" s="31"/>
    </row>
    <row r="199" spans="1:26" s="48" customFormat="1" ht="18.75" customHeight="1" x14ac:dyDescent="0.3">
      <c r="A199" s="31"/>
      <c r="B199" s="163"/>
      <c r="C199" s="152"/>
      <c r="D199" s="31"/>
      <c r="E199" s="84"/>
      <c r="F199" s="152"/>
      <c r="G199" s="84"/>
      <c r="H199" s="84"/>
      <c r="I199" s="84"/>
      <c r="J199" s="31"/>
      <c r="K199" s="31"/>
      <c r="L199" s="31"/>
      <c r="M199" s="31"/>
      <c r="N199" s="31"/>
      <c r="O199" s="31"/>
      <c r="P199" s="31"/>
      <c r="Q199" s="31"/>
      <c r="R199" s="31"/>
      <c r="S199" s="31"/>
      <c r="T199" s="31"/>
      <c r="U199" s="31"/>
      <c r="V199" s="31"/>
      <c r="W199" s="31"/>
      <c r="X199" s="31"/>
      <c r="Y199" s="31"/>
      <c r="Z199" s="31"/>
    </row>
    <row r="200" spans="1:26" ht="18.75" customHeight="1" x14ac:dyDescent="0.3">
      <c r="A200" s="116" t="s">
        <v>151</v>
      </c>
      <c r="B200" s="115"/>
      <c r="C200" s="115"/>
      <c r="D200" s="115"/>
      <c r="E200" s="115"/>
      <c r="F200" s="115"/>
      <c r="G200" s="124"/>
      <c r="H200" s="124"/>
      <c r="I200" s="124"/>
      <c r="J200" s="2"/>
      <c r="K200" s="2"/>
      <c r="L200" s="2"/>
      <c r="M200" s="2"/>
      <c r="N200" s="2"/>
      <c r="O200" s="2"/>
      <c r="P200" s="2"/>
      <c r="Q200" s="2"/>
      <c r="R200" s="2"/>
      <c r="S200" s="2"/>
      <c r="T200" s="2"/>
      <c r="U200" s="2"/>
      <c r="V200" s="2"/>
      <c r="W200" s="2"/>
      <c r="X200" s="2"/>
      <c r="Y200" s="2"/>
      <c r="Z200" s="2"/>
    </row>
    <row r="201" spans="1:26" ht="37.5" customHeight="1" x14ac:dyDescent="0.3">
      <c r="A201" s="92" t="s">
        <v>63</v>
      </c>
      <c r="B201" s="2"/>
      <c r="C201" s="2"/>
      <c r="D201" s="2"/>
      <c r="E201" s="94" t="s">
        <v>152</v>
      </c>
      <c r="F201" s="95" t="s">
        <v>153</v>
      </c>
      <c r="G201" s="95" t="s">
        <v>133</v>
      </c>
      <c r="H201" s="96" t="s">
        <v>13</v>
      </c>
      <c r="I201" s="95" t="s">
        <v>14</v>
      </c>
      <c r="J201" s="2"/>
      <c r="K201" s="2"/>
      <c r="L201" s="2"/>
      <c r="M201" s="2"/>
      <c r="N201" s="2"/>
      <c r="O201" s="2"/>
      <c r="P201" s="2"/>
      <c r="Q201" s="2"/>
      <c r="R201" s="2"/>
      <c r="S201" s="2"/>
      <c r="T201" s="2"/>
      <c r="U201" s="2"/>
      <c r="V201" s="2"/>
      <c r="W201" s="2"/>
      <c r="X201" s="2"/>
      <c r="Y201" s="2"/>
      <c r="Z201" s="2"/>
    </row>
    <row r="202" spans="1:26" ht="18.75" customHeight="1" x14ac:dyDescent="0.3">
      <c r="A202" s="97" t="s">
        <v>154</v>
      </c>
      <c r="B202" s="98"/>
      <c r="C202" s="98"/>
      <c r="D202" s="99"/>
      <c r="E202" s="85">
        <v>1328</v>
      </c>
      <c r="F202" s="86">
        <v>0.2</v>
      </c>
      <c r="G202" s="100">
        <f>E202*F202</f>
        <v>265.60000000000002</v>
      </c>
      <c r="H202" s="101">
        <f t="shared" ref="H202:H203" si="32">IFERROR(G202/$H$8,"")</f>
        <v>5.9022222222222229</v>
      </c>
      <c r="I202" s="102">
        <f>G202/I12</f>
        <v>6.0363636363636369E-2</v>
      </c>
      <c r="J202" s="2"/>
      <c r="K202" s="2"/>
      <c r="L202" s="2"/>
      <c r="M202" s="2"/>
      <c r="N202" s="2"/>
      <c r="O202" s="2"/>
      <c r="P202" s="2"/>
      <c r="Q202" s="2"/>
      <c r="R202" s="2"/>
      <c r="S202" s="2"/>
      <c r="T202" s="2"/>
      <c r="U202" s="2"/>
      <c r="V202" s="2"/>
      <c r="W202" s="2"/>
      <c r="X202" s="2"/>
      <c r="Y202" s="2"/>
      <c r="Z202" s="2"/>
    </row>
    <row r="203" spans="1:26" ht="18.75" customHeight="1" x14ac:dyDescent="0.3">
      <c r="A203" s="97" t="s">
        <v>155</v>
      </c>
      <c r="B203" s="98"/>
      <c r="C203" s="98"/>
      <c r="D203" s="99"/>
      <c r="E203" s="85">
        <v>2500</v>
      </c>
      <c r="F203" s="86">
        <v>0.2</v>
      </c>
      <c r="G203" s="100">
        <f>E203*F203</f>
        <v>500</v>
      </c>
      <c r="H203" s="101">
        <f t="shared" si="32"/>
        <v>11.111111111111111</v>
      </c>
      <c r="I203" s="102">
        <f>G203/I12</f>
        <v>0.11363636363636363</v>
      </c>
      <c r="J203" s="2"/>
      <c r="K203" s="2"/>
      <c r="L203" s="2"/>
      <c r="M203" s="2"/>
      <c r="N203" s="2"/>
      <c r="O203" s="2"/>
      <c r="P203" s="2"/>
      <c r="Q203" s="2"/>
      <c r="R203" s="2"/>
      <c r="S203" s="2"/>
      <c r="T203" s="2"/>
      <c r="U203" s="2"/>
      <c r="V203" s="2"/>
      <c r="W203" s="2"/>
      <c r="X203" s="2"/>
      <c r="Y203" s="2"/>
      <c r="Z203" s="2"/>
    </row>
    <row r="204" spans="1:26" ht="18.75" customHeight="1" x14ac:dyDescent="0.3">
      <c r="A204" s="134" t="s">
        <v>156</v>
      </c>
      <c r="B204" s="90"/>
      <c r="C204" s="90"/>
      <c r="D204" s="90"/>
      <c r="E204" s="90"/>
      <c r="F204" s="91"/>
      <c r="G204" s="44">
        <f>SUM(G202:G203)</f>
        <v>765.6</v>
      </c>
      <c r="H204" s="45">
        <f>SUM(H202:H203)</f>
        <v>17.013333333333335</v>
      </c>
      <c r="I204" s="46">
        <f>SUM(I202:I203)</f>
        <v>0.17399999999999999</v>
      </c>
      <c r="J204" s="2"/>
      <c r="K204" s="2"/>
      <c r="L204" s="2"/>
      <c r="M204" s="2"/>
      <c r="N204" s="2"/>
      <c r="O204" s="2"/>
      <c r="P204" s="2"/>
      <c r="Q204" s="2"/>
      <c r="R204" s="2"/>
      <c r="S204" s="2"/>
      <c r="T204" s="2"/>
      <c r="U204" s="2"/>
      <c r="V204" s="2"/>
      <c r="W204" s="2"/>
      <c r="X204" s="2"/>
      <c r="Y204" s="2"/>
      <c r="Z204" s="2"/>
    </row>
    <row r="205" spans="1:26" ht="18.75" customHeight="1" x14ac:dyDescent="0.3">
      <c r="A205" s="83" t="s">
        <v>157</v>
      </c>
      <c r="B205" s="2"/>
      <c r="C205" s="2"/>
      <c r="D205" s="31" t="s">
        <v>150</v>
      </c>
      <c r="E205" s="180">
        <v>0.01</v>
      </c>
      <c r="F205" s="2"/>
      <c r="G205" s="44">
        <f>G204*E205</f>
        <v>7.6560000000000006</v>
      </c>
      <c r="H205" s="45">
        <f>H204*E205</f>
        <v>0.17013333333333336</v>
      </c>
      <c r="I205" s="46">
        <f>I204*E205</f>
        <v>1.74E-3</v>
      </c>
      <c r="J205" s="2"/>
      <c r="K205" s="2"/>
      <c r="L205" s="2"/>
      <c r="M205" s="2"/>
      <c r="N205" s="2"/>
      <c r="O205" s="2"/>
      <c r="P205" s="2"/>
      <c r="Q205" s="2"/>
      <c r="R205" s="2"/>
      <c r="S205" s="2"/>
      <c r="T205" s="2"/>
      <c r="U205" s="2"/>
      <c r="V205" s="2"/>
      <c r="W205" s="2"/>
      <c r="X205" s="2"/>
      <c r="Y205" s="2"/>
      <c r="Z205" s="2"/>
    </row>
    <row r="206" spans="1:26" ht="18.75" customHeight="1" x14ac:dyDescent="0.3">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8.75" customHeight="1" x14ac:dyDescent="0.3">
      <c r="A207" s="116" t="s">
        <v>158</v>
      </c>
      <c r="B207" s="115"/>
      <c r="C207" s="115"/>
      <c r="D207" s="115"/>
      <c r="E207" s="115"/>
      <c r="F207" s="115"/>
      <c r="G207" s="115"/>
      <c r="H207" s="115"/>
      <c r="I207" s="115"/>
      <c r="J207" s="2"/>
      <c r="K207" s="2"/>
      <c r="L207" s="2"/>
      <c r="M207" s="2"/>
      <c r="N207" s="2"/>
      <c r="O207" s="2"/>
      <c r="P207" s="2"/>
      <c r="Q207" s="2"/>
      <c r="R207" s="2"/>
      <c r="S207" s="2"/>
      <c r="T207" s="2"/>
      <c r="U207" s="2"/>
      <c r="V207" s="2"/>
      <c r="W207" s="2"/>
      <c r="X207" s="2"/>
      <c r="Y207" s="2"/>
      <c r="Z207" s="2"/>
    </row>
    <row r="208" spans="1:26" ht="18.75" customHeight="1" x14ac:dyDescent="0.3">
      <c r="A208" s="54"/>
      <c r="B208" s="2"/>
      <c r="C208" s="2"/>
      <c r="D208" s="69" t="s">
        <v>159</v>
      </c>
      <c r="E208" s="69" t="s">
        <v>160</v>
      </c>
      <c r="F208" s="176" t="s">
        <v>161</v>
      </c>
      <c r="G208" s="2"/>
      <c r="H208" s="2"/>
      <c r="I208" s="2"/>
      <c r="J208" s="2"/>
      <c r="K208" s="2"/>
      <c r="L208" s="2"/>
      <c r="M208" s="2"/>
      <c r="N208" s="2"/>
      <c r="O208" s="2"/>
      <c r="P208" s="2"/>
      <c r="Q208" s="2"/>
      <c r="R208" s="2"/>
      <c r="S208" s="2"/>
      <c r="T208" s="2"/>
      <c r="U208" s="2"/>
      <c r="V208" s="2"/>
      <c r="W208" s="2"/>
      <c r="X208" s="2"/>
      <c r="Y208" s="2"/>
      <c r="Z208" s="2"/>
    </row>
    <row r="209" spans="1:26" ht="18.75" customHeight="1" x14ac:dyDescent="0.3">
      <c r="A209" s="98" t="s">
        <v>162</v>
      </c>
      <c r="B209" s="90"/>
      <c r="C209" s="91"/>
      <c r="D209" s="60">
        <v>10</v>
      </c>
      <c r="E209" s="194">
        <v>2700</v>
      </c>
      <c r="F209" s="195">
        <v>0.01</v>
      </c>
      <c r="G209" s="36">
        <f>D209*E209*F209</f>
        <v>270</v>
      </c>
      <c r="H209" s="37">
        <f>G209/$H$8</f>
        <v>6</v>
      </c>
      <c r="I209" s="38">
        <f>G209/I12</f>
        <v>6.1363636363636363E-2</v>
      </c>
      <c r="J209" s="2"/>
      <c r="K209" s="2"/>
      <c r="L209" s="2"/>
      <c r="M209" s="2"/>
      <c r="N209" s="2"/>
      <c r="O209" s="2"/>
      <c r="P209" s="2"/>
      <c r="Q209" s="2"/>
      <c r="R209" s="2"/>
      <c r="S209" s="2"/>
      <c r="T209" s="2"/>
      <c r="U209" s="2"/>
      <c r="V209" s="2"/>
      <c r="W209" s="2"/>
      <c r="X209" s="2"/>
      <c r="Y209" s="2"/>
      <c r="Z209" s="2"/>
    </row>
    <row r="210" spans="1:26" ht="18.75" customHeight="1" x14ac:dyDescent="0.3">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8.75" customHeight="1" x14ac:dyDescent="0.3">
      <c r="A211" s="70" t="s">
        <v>163</v>
      </c>
      <c r="B211" s="71"/>
      <c r="C211" s="71"/>
      <c r="D211" s="71"/>
      <c r="E211" s="71"/>
      <c r="F211" s="71"/>
      <c r="G211" s="71"/>
      <c r="H211" s="71"/>
      <c r="I211" s="71"/>
      <c r="J211" s="2"/>
      <c r="K211" s="2"/>
      <c r="L211" s="2"/>
      <c r="M211" s="2"/>
      <c r="N211" s="2"/>
      <c r="O211" s="2"/>
      <c r="P211" s="2"/>
      <c r="Q211" s="2"/>
      <c r="R211" s="2"/>
      <c r="S211" s="2"/>
      <c r="T211" s="2"/>
      <c r="U211" s="2"/>
      <c r="V211" s="2"/>
      <c r="W211" s="2"/>
      <c r="X211" s="2"/>
      <c r="Y211" s="2"/>
      <c r="Z211" s="2"/>
    </row>
    <row r="212" spans="1:26" ht="18.75" customHeight="1" x14ac:dyDescent="0.3">
      <c r="A212" s="1" t="s">
        <v>164</v>
      </c>
      <c r="B212" s="2"/>
      <c r="C212" s="2"/>
      <c r="D212" s="2"/>
      <c r="E212" s="2"/>
      <c r="F212" s="2"/>
      <c r="G212" s="323" t="s">
        <v>165</v>
      </c>
      <c r="H212" s="323" t="s">
        <v>13</v>
      </c>
      <c r="I212" s="323" t="s">
        <v>14</v>
      </c>
      <c r="J212" s="2"/>
      <c r="K212" s="2"/>
      <c r="L212" s="2"/>
      <c r="M212" s="2"/>
      <c r="N212" s="2"/>
      <c r="O212" s="2"/>
      <c r="P212" s="2"/>
      <c r="Q212" s="2"/>
      <c r="R212" s="2"/>
      <c r="S212" s="2"/>
      <c r="T212" s="2"/>
      <c r="U212" s="2"/>
      <c r="V212" s="2"/>
      <c r="W212" s="2"/>
      <c r="X212" s="2"/>
      <c r="Y212" s="2"/>
      <c r="Z212" s="2"/>
    </row>
    <row r="213" spans="1:26" ht="18.75" customHeight="1" x14ac:dyDescent="0.3">
      <c r="A213" s="39" t="s">
        <v>166</v>
      </c>
      <c r="B213" s="19"/>
      <c r="C213" s="19"/>
      <c r="D213" s="19"/>
      <c r="E213" s="19"/>
      <c r="F213" s="40"/>
      <c r="G213" s="36">
        <f>G14+G15+G16+G17+G18</f>
        <v>12370</v>
      </c>
      <c r="H213" s="37">
        <f>G213/$H$8</f>
        <v>274.88888888888891</v>
      </c>
      <c r="I213" s="38">
        <f>G213/I12</f>
        <v>2.8113636363636365</v>
      </c>
      <c r="J213" s="2"/>
      <c r="K213" s="2"/>
      <c r="L213" s="2"/>
      <c r="M213" s="2"/>
      <c r="N213" s="2"/>
      <c r="O213" s="2"/>
      <c r="P213" s="2"/>
      <c r="Q213" s="2"/>
      <c r="R213" s="2"/>
      <c r="S213" s="2"/>
      <c r="T213" s="2"/>
      <c r="U213" s="2"/>
      <c r="V213" s="2"/>
      <c r="W213" s="2"/>
      <c r="X213" s="2"/>
      <c r="Y213" s="2"/>
      <c r="Z213" s="2"/>
    </row>
    <row r="214" spans="1:26" ht="18.75" customHeight="1" x14ac:dyDescent="0.3">
      <c r="A214" s="39" t="s">
        <v>167</v>
      </c>
      <c r="B214" s="19"/>
      <c r="C214" s="19"/>
      <c r="D214" s="19"/>
      <c r="E214" s="19"/>
      <c r="F214" s="40"/>
      <c r="G214" s="36">
        <f>G19+G20</f>
        <v>918</v>
      </c>
      <c r="H214" s="37">
        <f>G214/$H$8</f>
        <v>20.399999999999999</v>
      </c>
      <c r="I214" s="38">
        <f>G214/I12</f>
        <v>0.20863636363636365</v>
      </c>
      <c r="J214" s="2"/>
      <c r="K214" s="2"/>
      <c r="L214" s="2"/>
      <c r="M214" s="2"/>
      <c r="N214" s="2"/>
      <c r="O214" s="2"/>
      <c r="P214" s="2"/>
      <c r="Q214" s="2"/>
      <c r="R214" s="2"/>
      <c r="S214" s="2"/>
      <c r="T214" s="2"/>
      <c r="U214" s="2"/>
      <c r="V214" s="2"/>
      <c r="W214" s="2"/>
      <c r="X214" s="2"/>
      <c r="Y214" s="2"/>
      <c r="Z214" s="2"/>
    </row>
    <row r="215" spans="1:26" ht="18.75" customHeight="1" x14ac:dyDescent="0.3">
      <c r="A215" s="39" t="s">
        <v>168</v>
      </c>
      <c r="B215" s="19"/>
      <c r="C215" s="19"/>
      <c r="D215" s="19"/>
      <c r="E215" s="19"/>
      <c r="F215" s="40"/>
      <c r="G215" s="36">
        <f>G22+G23</f>
        <v>1806</v>
      </c>
      <c r="H215" s="37">
        <f>G215/$H$8</f>
        <v>40.133333333333333</v>
      </c>
      <c r="I215" s="38">
        <f>G215/I12</f>
        <v>0.41045454545454546</v>
      </c>
      <c r="J215" s="2"/>
      <c r="K215" s="2"/>
      <c r="L215" s="2"/>
      <c r="M215" s="2"/>
      <c r="N215" s="2"/>
      <c r="O215" s="2"/>
      <c r="P215" s="2"/>
      <c r="Q215" s="2"/>
      <c r="R215" s="2"/>
      <c r="S215" s="2"/>
      <c r="T215" s="2"/>
      <c r="U215" s="2"/>
      <c r="V215" s="2"/>
      <c r="W215" s="2"/>
      <c r="X215" s="2"/>
      <c r="Y215" s="2"/>
      <c r="Z215" s="2"/>
    </row>
    <row r="216" spans="1:26" ht="18.75" customHeight="1" x14ac:dyDescent="0.3">
      <c r="A216" s="39" t="s">
        <v>169</v>
      </c>
      <c r="B216" s="19"/>
      <c r="C216" s="19"/>
      <c r="D216" s="19"/>
      <c r="E216" s="19"/>
      <c r="F216" s="40"/>
      <c r="G216" s="36">
        <f>G24</f>
        <v>0</v>
      </c>
      <c r="H216" s="37">
        <f>G216/$H$8</f>
        <v>0</v>
      </c>
      <c r="I216" s="38">
        <f>G216/I12</f>
        <v>0</v>
      </c>
      <c r="J216" s="2"/>
      <c r="K216" s="2"/>
      <c r="L216" s="2"/>
      <c r="M216" s="2"/>
      <c r="N216" s="2"/>
      <c r="O216" s="2"/>
      <c r="P216" s="2"/>
      <c r="Q216" s="2"/>
      <c r="R216" s="2"/>
      <c r="S216" s="2"/>
      <c r="T216" s="2"/>
      <c r="U216" s="2"/>
      <c r="V216" s="2"/>
      <c r="W216" s="2"/>
      <c r="X216" s="2"/>
      <c r="Y216" s="2"/>
      <c r="Z216" s="2"/>
    </row>
    <row r="217" spans="1:26" ht="18.75" customHeight="1" x14ac:dyDescent="0.3">
      <c r="A217" s="23" t="s">
        <v>26</v>
      </c>
      <c r="B217" s="24"/>
      <c r="C217" s="24"/>
      <c r="D217" s="24"/>
      <c r="E217" s="24"/>
      <c r="F217" s="25"/>
      <c r="G217" s="33">
        <f>G25</f>
        <v>15094</v>
      </c>
      <c r="H217" s="34">
        <f>H25</f>
        <v>335.42222222222222</v>
      </c>
      <c r="I217" s="35">
        <f>I25</f>
        <v>3.4304545454545456</v>
      </c>
      <c r="J217" s="1"/>
      <c r="K217" s="1"/>
      <c r="L217" s="1"/>
      <c r="M217" s="1"/>
      <c r="N217" s="1"/>
      <c r="O217" s="1"/>
      <c r="P217" s="1"/>
      <c r="Q217" s="1"/>
      <c r="R217" s="1"/>
      <c r="S217" s="1"/>
      <c r="T217" s="1"/>
      <c r="U217" s="1"/>
      <c r="V217" s="1"/>
      <c r="W217" s="1"/>
      <c r="X217" s="1"/>
      <c r="Y217" s="1"/>
      <c r="Z217" s="1"/>
    </row>
    <row r="218" spans="1:26" ht="18.75" customHeight="1" x14ac:dyDescent="0.3">
      <c r="A218" s="1"/>
      <c r="B218" s="1"/>
      <c r="C218" s="1"/>
      <c r="D218" s="1"/>
      <c r="E218" s="1"/>
      <c r="F218" s="1"/>
      <c r="G218" s="32"/>
      <c r="H218" s="32"/>
      <c r="I218" s="32"/>
      <c r="J218" s="1"/>
      <c r="K218" s="1"/>
      <c r="L218" s="1"/>
      <c r="M218" s="1"/>
      <c r="N218" s="1"/>
      <c r="O218" s="1"/>
      <c r="P218" s="1"/>
      <c r="Q218" s="1"/>
      <c r="R218" s="1"/>
      <c r="S218" s="1"/>
      <c r="T218" s="1"/>
      <c r="U218" s="1"/>
      <c r="V218" s="1"/>
      <c r="W218" s="1"/>
      <c r="X218" s="1"/>
      <c r="Y218" s="1"/>
      <c r="Z218" s="1"/>
    </row>
    <row r="219" spans="1:26" ht="18.75" customHeight="1" x14ac:dyDescent="0.3">
      <c r="A219" s="31" t="s">
        <v>170</v>
      </c>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8.75" customHeight="1" x14ac:dyDescent="0.3">
      <c r="A220" s="26" t="s">
        <v>28</v>
      </c>
      <c r="B220" s="19"/>
      <c r="C220" s="19"/>
      <c r="D220" s="19"/>
      <c r="E220" s="19"/>
      <c r="F220" s="20"/>
      <c r="G220" s="16">
        <f>G42</f>
        <v>5930</v>
      </c>
      <c r="H220" s="11">
        <f>H42</f>
        <v>131.77777777777777</v>
      </c>
      <c r="I220" s="12">
        <f>I42</f>
        <v>1.3477272727272727</v>
      </c>
      <c r="J220" s="2"/>
      <c r="K220" s="2"/>
      <c r="L220" s="2"/>
      <c r="M220" s="2"/>
      <c r="N220" s="2"/>
      <c r="O220" s="2"/>
      <c r="P220" s="2"/>
      <c r="Q220" s="2"/>
      <c r="R220" s="2"/>
      <c r="S220" s="2"/>
      <c r="T220" s="2"/>
      <c r="U220" s="2"/>
      <c r="V220" s="2"/>
      <c r="W220" s="2"/>
      <c r="X220" s="2"/>
      <c r="Y220" s="2"/>
      <c r="Z220" s="2"/>
    </row>
    <row r="221" spans="1:26" ht="18.75" customHeight="1" x14ac:dyDescent="0.3">
      <c r="A221" s="26" t="s">
        <v>42</v>
      </c>
      <c r="B221" s="19"/>
      <c r="C221" s="19"/>
      <c r="D221" s="19"/>
      <c r="E221" s="19"/>
      <c r="F221" s="20"/>
      <c r="G221" s="16">
        <f>G56</f>
        <v>3062.2</v>
      </c>
      <c r="H221" s="11">
        <f>H56</f>
        <v>68.048888888888897</v>
      </c>
      <c r="I221" s="12">
        <f>I56</f>
        <v>0.69595454545454538</v>
      </c>
      <c r="J221" s="2"/>
      <c r="K221" s="2"/>
      <c r="L221" s="2"/>
      <c r="M221" s="2"/>
      <c r="N221" s="2"/>
      <c r="O221" s="2"/>
      <c r="P221" s="2"/>
      <c r="Q221" s="2"/>
      <c r="R221" s="2"/>
      <c r="S221" s="2"/>
      <c r="T221" s="2"/>
      <c r="U221" s="2"/>
      <c r="V221" s="2"/>
      <c r="W221" s="2"/>
      <c r="X221" s="2"/>
      <c r="Y221" s="2"/>
      <c r="Z221" s="2"/>
    </row>
    <row r="222" spans="1:26" ht="18.75" customHeight="1" x14ac:dyDescent="0.3">
      <c r="A222" s="27" t="s">
        <v>56</v>
      </c>
      <c r="B222" s="19"/>
      <c r="C222" s="19"/>
      <c r="D222" s="19"/>
      <c r="E222" s="19"/>
      <c r="F222" s="20"/>
      <c r="G222" s="16">
        <f>G65</f>
        <v>890</v>
      </c>
      <c r="H222" s="11">
        <f>H65</f>
        <v>19.777777777777779</v>
      </c>
      <c r="I222" s="12">
        <f>I65</f>
        <v>0.20227272727272727</v>
      </c>
      <c r="J222" s="2"/>
      <c r="K222" s="2"/>
      <c r="L222" s="2"/>
      <c r="M222" s="2"/>
      <c r="N222" s="2"/>
      <c r="O222" s="2"/>
      <c r="P222" s="2"/>
      <c r="Q222" s="2"/>
      <c r="R222" s="2"/>
      <c r="S222" s="2"/>
      <c r="T222" s="2"/>
      <c r="U222" s="2"/>
      <c r="V222" s="2"/>
      <c r="W222" s="2"/>
      <c r="X222" s="2"/>
      <c r="Y222" s="2"/>
      <c r="Z222" s="2"/>
    </row>
    <row r="223" spans="1:26" ht="18.75" customHeight="1" x14ac:dyDescent="0.3">
      <c r="A223" s="26" t="s">
        <v>62</v>
      </c>
      <c r="B223" s="19"/>
      <c r="C223" s="19"/>
      <c r="D223" s="19"/>
      <c r="E223" s="19"/>
      <c r="F223" s="20"/>
      <c r="G223" s="16">
        <f>G84</f>
        <v>590</v>
      </c>
      <c r="H223" s="11">
        <f>H84</f>
        <v>13.111111111111111</v>
      </c>
      <c r="I223" s="12">
        <f>I84</f>
        <v>0.13409090909090909</v>
      </c>
      <c r="J223" s="2"/>
      <c r="K223" s="2"/>
      <c r="L223" s="2"/>
      <c r="M223" s="2"/>
      <c r="N223" s="2"/>
      <c r="O223" s="2"/>
      <c r="P223" s="2"/>
      <c r="Q223" s="2"/>
      <c r="R223" s="2"/>
      <c r="S223" s="2"/>
      <c r="T223" s="2"/>
      <c r="U223" s="2"/>
      <c r="V223" s="2"/>
      <c r="W223" s="2"/>
      <c r="X223" s="2"/>
      <c r="Y223" s="2"/>
      <c r="Z223" s="2"/>
    </row>
    <row r="224" spans="1:26" ht="18.75" customHeight="1" x14ac:dyDescent="0.3">
      <c r="A224" s="26" t="s">
        <v>70</v>
      </c>
      <c r="B224" s="19"/>
      <c r="C224" s="19"/>
      <c r="D224" s="19"/>
      <c r="E224" s="19"/>
      <c r="F224" s="20"/>
      <c r="G224" s="16">
        <f>G98</f>
        <v>697</v>
      </c>
      <c r="H224" s="11">
        <f>H98</f>
        <v>15.488888888888891</v>
      </c>
      <c r="I224" s="12">
        <f>I98</f>
        <v>0.15840909090909089</v>
      </c>
      <c r="J224" s="2"/>
      <c r="K224" s="2"/>
      <c r="L224" s="2"/>
      <c r="M224" s="2"/>
      <c r="N224" s="2"/>
      <c r="O224" s="2"/>
      <c r="P224" s="2"/>
      <c r="Q224" s="2"/>
      <c r="R224" s="2"/>
      <c r="S224" s="2"/>
      <c r="T224" s="2"/>
      <c r="U224" s="2"/>
      <c r="V224" s="2"/>
      <c r="W224" s="2"/>
      <c r="X224" s="2"/>
      <c r="Y224" s="2"/>
      <c r="Z224" s="2"/>
    </row>
    <row r="225" spans="1:26" ht="18.75" customHeight="1" x14ac:dyDescent="0.3">
      <c r="A225" s="27" t="s">
        <v>171</v>
      </c>
      <c r="B225" s="19"/>
      <c r="C225" s="19"/>
      <c r="D225" s="19"/>
      <c r="E225" s="19"/>
      <c r="F225" s="20"/>
      <c r="G225" s="16">
        <f>G119</f>
        <v>1627.1</v>
      </c>
      <c r="H225" s="11">
        <f>H119</f>
        <v>36.157777777777781</v>
      </c>
      <c r="I225" s="12">
        <f>I119</f>
        <v>0.36979545454545459</v>
      </c>
      <c r="J225" s="2"/>
      <c r="K225" s="2"/>
      <c r="L225" s="2"/>
      <c r="M225" s="2"/>
      <c r="N225" s="2"/>
      <c r="O225" s="2"/>
      <c r="P225" s="2"/>
      <c r="Q225" s="2"/>
      <c r="R225" s="2"/>
      <c r="S225" s="2"/>
      <c r="T225" s="2"/>
      <c r="U225" s="2"/>
      <c r="V225" s="2"/>
      <c r="W225" s="2"/>
      <c r="X225" s="2"/>
      <c r="Y225" s="2"/>
      <c r="Z225" s="2"/>
    </row>
    <row r="226" spans="1:26" ht="18.75" customHeight="1" x14ac:dyDescent="0.3">
      <c r="A226" s="39" t="s">
        <v>172</v>
      </c>
      <c r="B226" s="19"/>
      <c r="C226" s="19"/>
      <c r="D226" s="19"/>
      <c r="E226" s="19"/>
      <c r="F226" s="20"/>
      <c r="G226" s="16">
        <f>G123</f>
        <v>127.96300000000001</v>
      </c>
      <c r="H226" s="11">
        <f>H123</f>
        <v>2.8436222222222223</v>
      </c>
      <c r="I226" s="12">
        <f>I123</f>
        <v>2.9082499999999997E-2</v>
      </c>
      <c r="J226" s="2"/>
      <c r="K226" s="2"/>
      <c r="L226" s="2"/>
      <c r="M226" s="2"/>
      <c r="N226" s="2"/>
      <c r="O226" s="2"/>
      <c r="P226" s="2"/>
      <c r="Q226" s="2"/>
      <c r="R226" s="2"/>
      <c r="S226" s="2"/>
      <c r="T226" s="2"/>
      <c r="U226" s="2"/>
      <c r="V226" s="2"/>
      <c r="W226" s="2"/>
      <c r="X226" s="2"/>
      <c r="Y226" s="2"/>
      <c r="Z226" s="2"/>
    </row>
    <row r="227" spans="1:26" ht="18.75" customHeight="1" x14ac:dyDescent="0.3">
      <c r="A227" s="108" t="s">
        <v>97</v>
      </c>
      <c r="B227" s="24"/>
      <c r="C227" s="24"/>
      <c r="D227" s="24"/>
      <c r="E227" s="24"/>
      <c r="F227" s="25"/>
      <c r="G227" s="13">
        <f>SUM(G220:G226)</f>
        <v>12924.263000000001</v>
      </c>
      <c r="H227" s="14">
        <f>SUM(H220:H226)</f>
        <v>287.20584444444444</v>
      </c>
      <c r="I227" s="15">
        <f>SUM(I220:I226)</f>
        <v>2.9373324999999997</v>
      </c>
      <c r="J227" s="1"/>
      <c r="K227" s="1"/>
      <c r="L227" s="1"/>
      <c r="M227" s="1"/>
      <c r="N227" s="1"/>
      <c r="O227" s="1"/>
      <c r="P227" s="1"/>
      <c r="Q227" s="1"/>
      <c r="R227" s="1"/>
      <c r="S227" s="1"/>
      <c r="T227" s="1"/>
      <c r="U227" s="1"/>
      <c r="V227" s="1"/>
      <c r="W227" s="1"/>
      <c r="X227" s="1"/>
      <c r="Y227" s="1"/>
      <c r="Z227" s="1"/>
    </row>
    <row r="228" spans="1:26" ht="18.75" customHeight="1" x14ac:dyDescent="0.3">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8.75" customHeight="1" x14ac:dyDescent="0.3">
      <c r="A229" s="68" t="s">
        <v>173</v>
      </c>
      <c r="B229" s="24"/>
      <c r="C229" s="24"/>
      <c r="D229" s="24"/>
      <c r="E229" s="24"/>
      <c r="F229" s="25"/>
      <c r="G229" s="72">
        <f>G217-G227</f>
        <v>2169.7369999999992</v>
      </c>
      <c r="H229" s="73">
        <f>H217-H227</f>
        <v>48.21637777777778</v>
      </c>
      <c r="I229" s="74">
        <f>I217-I227</f>
        <v>0.49312204545454597</v>
      </c>
      <c r="J229" s="1"/>
      <c r="K229" s="1"/>
      <c r="L229" s="1"/>
      <c r="M229" s="1"/>
      <c r="N229" s="1"/>
      <c r="O229" s="1"/>
      <c r="P229" s="1"/>
      <c r="Q229" s="1"/>
      <c r="R229" s="1"/>
      <c r="S229" s="1"/>
      <c r="T229" s="1"/>
      <c r="U229" s="1"/>
      <c r="V229" s="1"/>
      <c r="W229" s="1"/>
      <c r="X229" s="1"/>
      <c r="Y229" s="1"/>
      <c r="Z229" s="1"/>
    </row>
    <row r="230" spans="1:26" ht="18.75" customHeight="1" x14ac:dyDescent="0.3">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8.75" customHeight="1" x14ac:dyDescent="0.3">
      <c r="A231" s="31" t="s">
        <v>174</v>
      </c>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8.75" customHeight="1" x14ac:dyDescent="0.3">
      <c r="A232" s="98" t="s">
        <v>175</v>
      </c>
      <c r="B232" s="98"/>
      <c r="C232" s="98"/>
      <c r="D232" s="98"/>
      <c r="E232" s="90"/>
      <c r="F232" s="91"/>
      <c r="G232" s="36">
        <f>G204</f>
        <v>765.6</v>
      </c>
      <c r="H232" s="37">
        <f>H204</f>
        <v>17.013333333333335</v>
      </c>
      <c r="I232" s="38">
        <f>I204</f>
        <v>0.17399999999999999</v>
      </c>
      <c r="J232" s="2"/>
      <c r="K232" s="2"/>
      <c r="L232" s="2"/>
      <c r="M232" s="2"/>
      <c r="N232" s="2"/>
      <c r="O232" s="2"/>
      <c r="P232" s="2"/>
      <c r="Q232" s="2"/>
      <c r="R232" s="2"/>
      <c r="S232" s="2"/>
      <c r="T232" s="2"/>
      <c r="U232" s="2"/>
      <c r="V232" s="2"/>
      <c r="W232" s="2"/>
      <c r="X232" s="2"/>
      <c r="Y232" s="2"/>
      <c r="Z232" s="2"/>
    </row>
    <row r="233" spans="1:26" ht="18.75" customHeight="1" x14ac:dyDescent="0.3">
      <c r="A233" s="67" t="s">
        <v>176</v>
      </c>
      <c r="B233" s="90"/>
      <c r="C233" s="90"/>
      <c r="D233" s="90"/>
      <c r="E233" s="90"/>
      <c r="F233" s="91"/>
      <c r="G233" s="36">
        <f>G154</f>
        <v>331.66666666666669</v>
      </c>
      <c r="H233" s="37">
        <f>H154</f>
        <v>7.3703703703703711</v>
      </c>
      <c r="I233" s="38">
        <f>I154</f>
        <v>7.5378787878787878E-2</v>
      </c>
      <c r="J233" s="2"/>
      <c r="K233" s="2"/>
      <c r="L233" s="2"/>
      <c r="M233" s="2"/>
      <c r="N233" s="2"/>
      <c r="O233" s="2"/>
      <c r="P233" s="2"/>
      <c r="Q233" s="2"/>
      <c r="R233" s="2"/>
      <c r="S233" s="2"/>
      <c r="T233" s="2"/>
      <c r="U233" s="2"/>
      <c r="V233" s="2"/>
      <c r="W233" s="2"/>
      <c r="X233" s="2"/>
      <c r="Y233" s="2"/>
      <c r="Z233" s="2"/>
    </row>
    <row r="234" spans="1:26" ht="18.75" customHeight="1" x14ac:dyDescent="0.3">
      <c r="A234" s="90" t="s">
        <v>177</v>
      </c>
      <c r="B234" s="90"/>
      <c r="C234" s="90"/>
      <c r="D234" s="90"/>
      <c r="E234" s="90"/>
      <c r="F234" s="110"/>
      <c r="G234" s="103">
        <f>G182</f>
        <v>1771.6666666666667</v>
      </c>
      <c r="H234" s="104">
        <f>H182</f>
        <v>39.370370370370367</v>
      </c>
      <c r="I234" s="105">
        <f>I182</f>
        <v>0.40265151515151509</v>
      </c>
      <c r="J234" s="2"/>
      <c r="K234" s="2"/>
      <c r="L234" s="2"/>
      <c r="M234" s="2"/>
      <c r="N234" s="2"/>
      <c r="O234" s="2"/>
      <c r="P234" s="2"/>
      <c r="Q234" s="2"/>
      <c r="R234" s="2"/>
      <c r="S234" s="2"/>
      <c r="T234" s="2"/>
      <c r="U234" s="2"/>
      <c r="V234" s="2"/>
      <c r="W234" s="2"/>
      <c r="X234" s="2"/>
      <c r="Y234" s="2"/>
      <c r="Z234" s="2"/>
    </row>
    <row r="235" spans="1:26" ht="18.75" customHeight="1" x14ac:dyDescent="0.3">
      <c r="A235" s="90" t="s">
        <v>178</v>
      </c>
      <c r="B235" s="90"/>
      <c r="C235" s="90"/>
      <c r="D235" s="90"/>
      <c r="E235" s="90"/>
      <c r="F235" s="110"/>
      <c r="G235" s="16">
        <f>G197</f>
        <v>1146.6666666666667</v>
      </c>
      <c r="H235" s="11">
        <f>H197</f>
        <v>25.481481481481485</v>
      </c>
      <c r="I235" s="12">
        <f>I197</f>
        <v>0.26060606060606062</v>
      </c>
      <c r="J235" s="2"/>
      <c r="K235" s="2"/>
      <c r="L235" s="2"/>
      <c r="M235" s="2"/>
      <c r="N235" s="2"/>
      <c r="O235" s="2"/>
      <c r="P235" s="2"/>
      <c r="Q235" s="2"/>
      <c r="R235" s="2"/>
      <c r="S235" s="2"/>
      <c r="T235" s="2"/>
      <c r="U235" s="2"/>
      <c r="V235" s="2"/>
      <c r="W235" s="2"/>
      <c r="X235" s="2"/>
      <c r="Y235" s="2"/>
      <c r="Z235" s="2"/>
    </row>
    <row r="236" spans="1:26" ht="18.75" customHeight="1" x14ac:dyDescent="0.3">
      <c r="A236" s="171" t="s">
        <v>179</v>
      </c>
      <c r="B236" s="170"/>
      <c r="C236" s="170"/>
      <c r="D236" s="170"/>
      <c r="E236" s="170"/>
      <c r="F236" s="170"/>
      <c r="G236" s="16">
        <f>G137+G155+G183+G198+G205+G209</f>
        <v>1346.356</v>
      </c>
      <c r="H236" s="11">
        <f>H137+H155+H183+H198+H205+H209</f>
        <v>29.919022222222221</v>
      </c>
      <c r="I236" s="12">
        <f>I137+I155+I183+I198+I205+I209</f>
        <v>0.30598999999999998</v>
      </c>
      <c r="J236" s="2"/>
      <c r="K236" s="2"/>
      <c r="L236" s="2"/>
      <c r="M236" s="2"/>
      <c r="N236" s="2"/>
      <c r="O236" s="2"/>
      <c r="P236" s="2"/>
      <c r="Q236" s="2"/>
      <c r="R236" s="2"/>
      <c r="S236" s="2"/>
      <c r="T236" s="2"/>
      <c r="U236" s="2"/>
      <c r="V236" s="2"/>
      <c r="W236" s="2"/>
      <c r="X236" s="2"/>
      <c r="Y236" s="2"/>
      <c r="Z236" s="2"/>
    </row>
    <row r="237" spans="1:26" ht="18.75" customHeight="1" x14ac:dyDescent="0.3">
      <c r="A237" s="111" t="s">
        <v>180</v>
      </c>
      <c r="B237" s="109"/>
      <c r="C237" s="109"/>
      <c r="D237" s="109"/>
      <c r="E237" s="109"/>
      <c r="F237" s="109"/>
      <c r="G237" s="13">
        <f>SUM(G232:G236)</f>
        <v>5361.9560000000001</v>
      </c>
      <c r="H237" s="14">
        <f>SUM(H232:H236)</f>
        <v>119.15457777777777</v>
      </c>
      <c r="I237" s="15">
        <f>SUM(I232:I236)</f>
        <v>1.2186263636363637</v>
      </c>
      <c r="J237" s="1"/>
      <c r="K237" s="1"/>
      <c r="L237" s="1"/>
      <c r="M237" s="1"/>
      <c r="N237" s="1"/>
      <c r="O237" s="1"/>
      <c r="P237" s="1"/>
      <c r="Q237" s="1"/>
      <c r="R237" s="1"/>
      <c r="S237" s="1"/>
      <c r="T237" s="1"/>
      <c r="U237" s="1"/>
      <c r="V237" s="1"/>
      <c r="W237" s="1"/>
      <c r="X237" s="1"/>
      <c r="Y237" s="1"/>
      <c r="Z237" s="1"/>
    </row>
    <row r="238" spans="1:26" ht="18.75" customHeight="1" x14ac:dyDescent="0.3">
      <c r="A238" s="31"/>
      <c r="B238" s="1"/>
      <c r="C238" s="1"/>
      <c r="D238" s="1"/>
      <c r="E238" s="1"/>
      <c r="F238" s="1"/>
      <c r="G238" s="32"/>
      <c r="H238" s="32"/>
      <c r="I238" s="32"/>
      <c r="J238" s="1"/>
      <c r="K238" s="1"/>
      <c r="L238" s="1"/>
      <c r="M238" s="1"/>
      <c r="N238" s="1"/>
      <c r="O238" s="1"/>
      <c r="P238" s="1"/>
      <c r="Q238" s="1"/>
      <c r="R238" s="1"/>
      <c r="S238" s="1"/>
      <c r="T238" s="1"/>
      <c r="U238" s="1"/>
      <c r="V238" s="1"/>
      <c r="W238" s="1"/>
      <c r="X238" s="1"/>
      <c r="Y238" s="1"/>
      <c r="Z238" s="1"/>
    </row>
    <row r="239" spans="1:26" ht="18.75" customHeight="1" x14ac:dyDescent="0.3">
      <c r="A239" s="116" t="s">
        <v>55</v>
      </c>
      <c r="B239" s="116"/>
      <c r="C239" s="116"/>
      <c r="D239" s="116"/>
      <c r="E239" s="116"/>
      <c r="F239" s="116"/>
      <c r="G239" s="165"/>
      <c r="H239" s="165"/>
      <c r="I239" s="165"/>
      <c r="J239" s="1"/>
      <c r="K239" s="1"/>
      <c r="L239" s="1"/>
      <c r="M239" s="1"/>
      <c r="N239" s="1"/>
      <c r="O239" s="1"/>
      <c r="P239" s="1"/>
      <c r="Q239" s="1"/>
      <c r="R239" s="1"/>
      <c r="S239" s="1"/>
      <c r="T239" s="1"/>
      <c r="U239" s="1"/>
      <c r="V239" s="1"/>
      <c r="W239" s="1"/>
      <c r="X239" s="1"/>
      <c r="Y239" s="1"/>
      <c r="Z239" s="1"/>
    </row>
    <row r="240" spans="1:26" ht="18.75" customHeight="1" x14ac:dyDescent="0.3">
      <c r="A240" s="31" t="s">
        <v>365</v>
      </c>
      <c r="B240" s="1"/>
      <c r="C240" s="1"/>
      <c r="D240" s="1"/>
      <c r="E240" s="1"/>
      <c r="F240" s="1"/>
      <c r="G240" s="100">
        <f>G25</f>
        <v>15094</v>
      </c>
      <c r="H240" s="352">
        <f>H25</f>
        <v>335.42222222222222</v>
      </c>
      <c r="I240" s="351">
        <f>I25</f>
        <v>3.4304545454545456</v>
      </c>
      <c r="J240" s="1"/>
      <c r="K240" s="1"/>
      <c r="L240" s="1"/>
      <c r="M240" s="1"/>
      <c r="N240" s="1"/>
      <c r="O240" s="1"/>
      <c r="P240" s="1"/>
      <c r="Q240" s="1"/>
      <c r="R240" s="1"/>
      <c r="S240" s="1"/>
      <c r="T240" s="1"/>
      <c r="U240" s="1"/>
      <c r="V240" s="1"/>
      <c r="W240" s="1"/>
      <c r="X240" s="1"/>
      <c r="Y240" s="1"/>
      <c r="Z240" s="1"/>
    </row>
    <row r="241" spans="1:26" ht="18.75" customHeight="1" x14ac:dyDescent="0.3">
      <c r="A241" s="31" t="s">
        <v>364</v>
      </c>
      <c r="B241" s="1"/>
      <c r="C241" s="1"/>
      <c r="D241" s="1"/>
      <c r="E241" s="1"/>
      <c r="F241" s="1"/>
      <c r="G241" s="100">
        <f>G42+G56+G98+G209</f>
        <v>9959.2000000000007</v>
      </c>
      <c r="H241" s="352">
        <f>H42+H56+H98+H209</f>
        <v>221.31555555555553</v>
      </c>
      <c r="I241" s="351">
        <f>I42+I56+I98+I209</f>
        <v>2.2634545454545454</v>
      </c>
      <c r="J241" s="1"/>
      <c r="K241" s="1"/>
      <c r="L241" s="1"/>
      <c r="M241" s="1"/>
      <c r="N241" s="1"/>
      <c r="O241" s="1"/>
      <c r="P241" s="1"/>
      <c r="Q241" s="1"/>
      <c r="R241" s="1"/>
      <c r="S241" s="1"/>
      <c r="T241" s="1"/>
      <c r="U241" s="1"/>
      <c r="V241" s="1"/>
      <c r="W241" s="1"/>
      <c r="X241" s="1"/>
      <c r="Y241" s="1"/>
      <c r="Z241" s="1"/>
    </row>
    <row r="242" spans="1:26" ht="18.75" customHeight="1" x14ac:dyDescent="0.3">
      <c r="A242" s="31" t="s">
        <v>55</v>
      </c>
      <c r="B242" s="2"/>
      <c r="C242" s="2"/>
      <c r="D242" s="2"/>
      <c r="E242" s="2"/>
      <c r="F242" s="2"/>
      <c r="G242" s="49">
        <f>G240-G241</f>
        <v>5134.7999999999993</v>
      </c>
      <c r="H242" s="353">
        <f>H240-H241</f>
        <v>114.10666666666668</v>
      </c>
      <c r="I242" s="350">
        <f>I240-I241</f>
        <v>1.1670000000000003</v>
      </c>
      <c r="J242" s="2"/>
      <c r="K242" s="2"/>
      <c r="L242" s="2"/>
      <c r="M242" s="2"/>
      <c r="N242" s="2"/>
      <c r="O242" s="2"/>
      <c r="P242" s="2"/>
      <c r="Q242" s="2"/>
      <c r="R242" s="2"/>
      <c r="S242" s="2"/>
      <c r="T242" s="2"/>
      <c r="U242" s="2"/>
      <c r="V242" s="2"/>
      <c r="W242" s="2"/>
      <c r="X242" s="2"/>
      <c r="Y242" s="2"/>
      <c r="Z242" s="2"/>
    </row>
    <row r="243" spans="1:26" s="48" customFormat="1" ht="18.75" customHeight="1" x14ac:dyDescent="0.3">
      <c r="A243" s="31"/>
      <c r="B243" s="31"/>
      <c r="C243" s="31"/>
      <c r="D243" s="31"/>
      <c r="E243" s="31"/>
      <c r="F243" s="31"/>
      <c r="G243" s="84"/>
      <c r="H243" s="84"/>
      <c r="I243" s="84"/>
      <c r="J243" s="31"/>
      <c r="K243" s="31"/>
      <c r="L243" s="31"/>
      <c r="M243" s="31"/>
      <c r="N243" s="31"/>
      <c r="O243" s="31"/>
      <c r="P243" s="31"/>
      <c r="Q243" s="31"/>
      <c r="R243" s="31"/>
      <c r="S243" s="31"/>
      <c r="T243" s="31"/>
      <c r="U243" s="31"/>
      <c r="V243" s="31"/>
      <c r="W243" s="31"/>
      <c r="X243" s="31"/>
      <c r="Y243" s="31"/>
      <c r="Z243" s="31"/>
    </row>
    <row r="244" spans="1:26" s="48" customFormat="1" ht="18.75" customHeight="1" x14ac:dyDescent="0.3">
      <c r="A244" s="116" t="s">
        <v>181</v>
      </c>
      <c r="B244" s="120"/>
      <c r="C244" s="120"/>
      <c r="D244" s="120"/>
      <c r="E244" s="120"/>
      <c r="F244" s="120"/>
      <c r="G244" s="138"/>
      <c r="H244" s="138"/>
      <c r="I244" s="138"/>
      <c r="J244" s="31"/>
      <c r="K244" s="31"/>
      <c r="L244" s="31"/>
      <c r="M244" s="31"/>
      <c r="N244" s="31"/>
      <c r="O244" s="31"/>
      <c r="P244" s="31"/>
      <c r="Q244" s="31"/>
      <c r="R244" s="31"/>
      <c r="S244" s="31"/>
      <c r="T244" s="31"/>
      <c r="U244" s="31"/>
      <c r="V244" s="31"/>
      <c r="W244" s="31"/>
      <c r="X244" s="31"/>
      <c r="Y244" s="31"/>
      <c r="Z244" s="31"/>
    </row>
    <row r="245" spans="1:26" s="48" customFormat="1" ht="18.75" customHeight="1" x14ac:dyDescent="0.3">
      <c r="A245" s="31"/>
      <c r="B245" s="31"/>
      <c r="C245" s="31"/>
      <c r="D245" s="31"/>
      <c r="E245" s="31"/>
      <c r="F245" s="31"/>
      <c r="G245" s="84"/>
      <c r="H245" s="84"/>
      <c r="I245" s="84"/>
      <c r="J245" s="31"/>
      <c r="K245" s="31"/>
      <c r="L245" s="31"/>
      <c r="M245" s="31"/>
      <c r="N245" s="31"/>
      <c r="O245" s="31"/>
      <c r="P245" s="31"/>
      <c r="Q245" s="31"/>
      <c r="R245" s="31"/>
      <c r="S245" s="31"/>
      <c r="T245" s="31"/>
      <c r="U245" s="31"/>
      <c r="V245" s="31"/>
      <c r="W245" s="31"/>
      <c r="X245" s="31"/>
      <c r="Y245" s="31"/>
      <c r="Z245" s="31"/>
    </row>
    <row r="246" spans="1:26" ht="18.75" customHeight="1" x14ac:dyDescent="0.3">
      <c r="A246" s="311" t="s">
        <v>182</v>
      </c>
      <c r="B246" s="309"/>
      <c r="C246" s="309"/>
      <c r="D246" s="309"/>
      <c r="E246" s="309"/>
      <c r="F246" s="309"/>
      <c r="G246" s="309"/>
      <c r="H246" s="309"/>
      <c r="I246" s="309"/>
      <c r="J246" s="2"/>
      <c r="K246" s="2"/>
      <c r="L246" s="2"/>
      <c r="M246" s="2"/>
      <c r="N246" s="2"/>
      <c r="O246" s="2"/>
      <c r="P246" s="2"/>
      <c r="Q246" s="2"/>
      <c r="R246" s="2"/>
      <c r="S246" s="2"/>
      <c r="T246" s="2"/>
      <c r="U246" s="2"/>
      <c r="V246" s="2"/>
      <c r="W246" s="2"/>
      <c r="X246" s="2"/>
      <c r="Y246" s="2"/>
      <c r="Z246" s="2"/>
    </row>
    <row r="247" spans="1:26" ht="18.75" customHeight="1" x14ac:dyDescent="0.3">
      <c r="A247" s="308" t="s">
        <v>183</v>
      </c>
      <c r="B247" s="313"/>
      <c r="C247" s="308"/>
      <c r="D247" s="308"/>
      <c r="E247" s="308"/>
      <c r="F247" s="308"/>
      <c r="G247" s="308"/>
      <c r="H247" s="308"/>
      <c r="I247" s="309"/>
      <c r="J247" s="2"/>
      <c r="K247" s="2"/>
      <c r="L247" s="2"/>
      <c r="M247" s="2"/>
      <c r="N247" s="2"/>
      <c r="O247" s="2"/>
      <c r="P247" s="2"/>
      <c r="Q247" s="2"/>
      <c r="R247" s="2"/>
      <c r="S247" s="2"/>
      <c r="T247" s="2"/>
      <c r="U247" s="2"/>
      <c r="V247" s="2"/>
      <c r="W247" s="2"/>
      <c r="X247" s="2"/>
      <c r="Y247" s="2"/>
      <c r="Z247" s="2"/>
    </row>
    <row r="248" spans="1:26" ht="18.75" customHeight="1" x14ac:dyDescent="0.3">
      <c r="A248" s="54"/>
      <c r="B248" s="324"/>
      <c r="C248" s="54"/>
      <c r="D248" s="54"/>
      <c r="E248" s="54"/>
      <c r="F248" s="54"/>
      <c r="G248" s="323" t="s">
        <v>165</v>
      </c>
      <c r="H248" s="323" t="s">
        <v>13</v>
      </c>
      <c r="I248" s="323" t="s">
        <v>14</v>
      </c>
      <c r="J248" s="2"/>
      <c r="K248" s="2"/>
      <c r="L248" s="2"/>
      <c r="M248" s="2"/>
      <c r="N248" s="2"/>
      <c r="O248" s="2"/>
      <c r="P248" s="2"/>
      <c r="Q248" s="2"/>
      <c r="R248" s="2"/>
      <c r="S248" s="2"/>
      <c r="T248" s="2"/>
      <c r="U248" s="2"/>
      <c r="V248" s="2"/>
      <c r="W248" s="2"/>
      <c r="X248" s="2"/>
      <c r="Y248" s="2"/>
      <c r="Z248" s="2"/>
    </row>
    <row r="249" spans="1:26" ht="18.75" customHeight="1" x14ac:dyDescent="0.3">
      <c r="A249" s="31" t="s">
        <v>184</v>
      </c>
      <c r="B249" s="1"/>
      <c r="C249" s="1"/>
      <c r="D249" s="1"/>
      <c r="E249" s="1"/>
      <c r="F249" s="1"/>
      <c r="G249" s="72">
        <f>G229-G237</f>
        <v>-3192.219000000001</v>
      </c>
      <c r="H249" s="73">
        <f>H229-H237</f>
        <v>-70.938199999999995</v>
      </c>
      <c r="I249" s="74">
        <f>I229-I237</f>
        <v>-0.72550431818181771</v>
      </c>
      <c r="J249" s="1"/>
      <c r="K249" s="1"/>
      <c r="L249" s="1"/>
      <c r="M249" s="1"/>
      <c r="N249" s="1"/>
      <c r="O249" s="1"/>
      <c r="P249" s="1"/>
      <c r="Q249" s="1"/>
      <c r="R249" s="1"/>
      <c r="S249" s="1"/>
      <c r="T249" s="1"/>
      <c r="U249" s="1"/>
      <c r="V249" s="1"/>
      <c r="W249" s="1"/>
      <c r="X249" s="1"/>
      <c r="Y249" s="1"/>
      <c r="Z249" s="1"/>
    </row>
    <row r="251" spans="1:26" ht="18.75" customHeight="1" x14ac:dyDescent="0.3">
      <c r="A251" s="31" t="s">
        <v>185</v>
      </c>
      <c r="B251" s="1"/>
      <c r="C251" s="1"/>
      <c r="D251" s="1"/>
      <c r="E251" s="1"/>
      <c r="F251" s="1"/>
      <c r="G251" s="1"/>
      <c r="H251" s="14">
        <f>H227+H237</f>
        <v>406.36042222222221</v>
      </c>
      <c r="I251" s="15">
        <f>I227+I237</f>
        <v>4.1559588636363634</v>
      </c>
      <c r="J251" s="1"/>
      <c r="K251" s="1"/>
      <c r="L251" s="1"/>
      <c r="M251" s="1"/>
      <c r="N251" s="1"/>
      <c r="O251" s="1"/>
      <c r="P251" s="1"/>
      <c r="Q251" s="1"/>
      <c r="R251" s="1"/>
      <c r="S251" s="1"/>
      <c r="T251" s="1"/>
      <c r="U251" s="1"/>
      <c r="V251" s="1"/>
      <c r="W251" s="1"/>
      <c r="X251" s="1"/>
      <c r="Y251" s="1"/>
      <c r="Z251" s="1"/>
    </row>
    <row r="252" spans="1:26" ht="18.75" customHeight="1" x14ac:dyDescent="0.3">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8.75" customHeight="1" x14ac:dyDescent="0.3">
      <c r="A253" s="31" t="s">
        <v>186</v>
      </c>
      <c r="B253" s="2"/>
      <c r="C253" s="2"/>
      <c r="D253" s="2"/>
      <c r="E253" s="2"/>
      <c r="F253" s="2"/>
      <c r="G253" s="2"/>
      <c r="H253" s="2"/>
      <c r="I253" s="41">
        <f>(I227+I237)-(I214+I216)</f>
        <v>3.9473224999999998</v>
      </c>
      <c r="J253" s="2"/>
      <c r="K253" s="2"/>
      <c r="L253" s="2"/>
      <c r="M253" s="2"/>
      <c r="N253" s="2"/>
      <c r="O253" s="2"/>
      <c r="P253" s="2"/>
      <c r="Q253" s="2"/>
      <c r="R253" s="2"/>
      <c r="S253" s="2"/>
      <c r="T253" s="2"/>
      <c r="U253" s="2"/>
      <c r="V253" s="2"/>
      <c r="W253" s="2"/>
      <c r="X253" s="2"/>
      <c r="Y253" s="2"/>
      <c r="Z253" s="2"/>
    </row>
    <row r="254" spans="1:26" ht="18.75" customHeight="1" x14ac:dyDescent="0.3">
      <c r="A254" s="116" t="s">
        <v>187</v>
      </c>
      <c r="B254" s="164"/>
      <c r="C254" s="164"/>
      <c r="D254" s="164"/>
      <c r="E254" s="164"/>
      <c r="F254" s="164"/>
      <c r="G254" s="164"/>
      <c r="H254" s="164"/>
      <c r="I254" s="164"/>
      <c r="J254" s="2"/>
      <c r="K254" s="2"/>
      <c r="L254" s="2"/>
      <c r="M254" s="2"/>
      <c r="N254" s="2"/>
      <c r="O254" s="2"/>
      <c r="P254" s="2"/>
      <c r="Q254" s="2"/>
      <c r="R254" s="2"/>
      <c r="S254" s="2"/>
      <c r="T254" s="2"/>
      <c r="U254" s="2"/>
      <c r="V254" s="2"/>
      <c r="W254" s="2"/>
      <c r="X254" s="2"/>
      <c r="Y254" s="2"/>
      <c r="Z254" s="2"/>
    </row>
    <row r="255" spans="1:26" s="48" customFormat="1" ht="18.75" customHeight="1" x14ac:dyDescent="0.3">
      <c r="A255" s="31" t="s">
        <v>188</v>
      </c>
      <c r="B255" s="31"/>
      <c r="C255" s="31"/>
      <c r="D255" s="31"/>
      <c r="E255" s="31"/>
      <c r="F255" s="31"/>
      <c r="G255" s="31"/>
      <c r="H255" s="31"/>
      <c r="I255" s="31"/>
      <c r="J255" s="31"/>
      <c r="K255" s="31"/>
      <c r="L255" s="31"/>
      <c r="M255" s="31"/>
      <c r="N255" s="31"/>
      <c r="O255" s="31"/>
      <c r="P255" s="31"/>
      <c r="Q255" s="31"/>
      <c r="R255" s="31"/>
      <c r="S255" s="31"/>
      <c r="T255" s="31"/>
      <c r="U255" s="31"/>
      <c r="V255" s="31"/>
      <c r="W255" s="31"/>
      <c r="X255" s="31"/>
      <c r="Y255" s="31"/>
      <c r="Z255" s="31"/>
    </row>
    <row r="256" spans="1:26" ht="18.75" customHeight="1" x14ac:dyDescent="0.3">
      <c r="A256" s="54"/>
      <c r="B256" s="2"/>
      <c r="C256" s="81">
        <v>-0.15</v>
      </c>
      <c r="D256" s="81">
        <v>-0.1</v>
      </c>
      <c r="E256" s="81">
        <v>-0.05</v>
      </c>
      <c r="F256" s="80"/>
      <c r="G256" s="81">
        <v>0.05</v>
      </c>
      <c r="H256" s="81">
        <v>0.1</v>
      </c>
      <c r="I256" s="81">
        <v>0.15</v>
      </c>
      <c r="J256" s="2"/>
      <c r="K256" s="2"/>
      <c r="L256" s="2"/>
      <c r="M256" s="2"/>
      <c r="N256" s="2"/>
      <c r="O256" s="2"/>
      <c r="P256" s="2"/>
      <c r="Q256" s="2"/>
      <c r="R256" s="2"/>
      <c r="S256" s="2"/>
      <c r="T256" s="2"/>
      <c r="U256" s="2"/>
      <c r="V256" s="2"/>
      <c r="W256" s="2"/>
      <c r="X256" s="2"/>
      <c r="Y256" s="2"/>
      <c r="Z256" s="2"/>
    </row>
    <row r="257" spans="1:26" ht="18.75" customHeight="1" x14ac:dyDescent="0.3">
      <c r="A257" s="2"/>
      <c r="B257" s="55"/>
      <c r="C257" s="56">
        <f>F257*(1+C256)</f>
        <v>3.3552241249999999</v>
      </c>
      <c r="D257" s="56">
        <f>F257*(1+D256)</f>
        <v>3.5525902499999997</v>
      </c>
      <c r="E257" s="56">
        <f>F257*(1+E256)</f>
        <v>3.7499563749999996</v>
      </c>
      <c r="F257" s="57">
        <f>I253</f>
        <v>3.9473224999999998</v>
      </c>
      <c r="G257" s="56">
        <f>F257*(1+G256)</f>
        <v>4.1446886249999997</v>
      </c>
      <c r="H257" s="56">
        <f>F257*(1+H256)</f>
        <v>4.34205475</v>
      </c>
      <c r="I257" s="56">
        <f>F257*(1+I256)</f>
        <v>4.5394208749999994</v>
      </c>
      <c r="J257" s="2"/>
      <c r="K257" s="2"/>
      <c r="L257" s="2"/>
      <c r="M257" s="2"/>
      <c r="N257" s="2"/>
      <c r="O257" s="2"/>
      <c r="P257" s="2"/>
      <c r="Q257" s="2"/>
      <c r="R257" s="2"/>
      <c r="S257" s="2"/>
      <c r="T257" s="2"/>
      <c r="U257" s="2"/>
      <c r="V257" s="2"/>
      <c r="W257" s="2"/>
      <c r="X257" s="2"/>
      <c r="Y257" s="2"/>
      <c r="Z257" s="2"/>
    </row>
    <row r="258" spans="1:26" ht="18.75" customHeight="1" x14ac:dyDescent="0.3">
      <c r="A258" s="82">
        <v>-0.15</v>
      </c>
      <c r="B258" s="56">
        <f>B261*(1+A258)</f>
        <v>1.9239363636363636</v>
      </c>
      <c r="C258" s="355">
        <f t="shared" ref="C258:C264" si="33">$C$257-(B258+$I$227+$I$237)+($I$19+$I$20+$I$24+$I$241)</f>
        <v>-0.25258019318181857</v>
      </c>
      <c r="D258" s="355">
        <f t="shared" ref="D258:D264" si="34">$D$257-(B258+$I$227+$I$237)+($I$19+$I$20+$I$24+$I$241)</f>
        <v>-5.5214068181818732E-2</v>
      </c>
      <c r="E258" s="355">
        <f t="shared" ref="E258:E264" si="35">$E$257-(B258+$I$227+$I$237)+($I$19+$I$20+$I$24+$I$241)</f>
        <v>0.14215205681818111</v>
      </c>
      <c r="F258" s="355">
        <f>F257-($B$258+$I$227+$I$237)+($I$19+$I$20+$I$24+$I$241)</f>
        <v>0.33951818181818139</v>
      </c>
      <c r="G258" s="355">
        <f t="shared" ref="G258:G264" si="36">$G$257-(B258+$I$227+$I$237)+($I$19+$I$20+$I$24+$I$241)</f>
        <v>0.53688430681818122</v>
      </c>
      <c r="H258" s="355">
        <f t="shared" ref="H258:H264" si="37">$H$257-(B258+$I$227+$I$237)+($I$19+$I$20+$I$24+$I$241)</f>
        <v>0.7342504318181815</v>
      </c>
      <c r="I258" s="355">
        <f t="shared" ref="I258:I264" si="38">$I$257-(B258+$I$227+$I$237)+($I$19+$I$20+$I$24+$I$241)</f>
        <v>0.9316165568181809</v>
      </c>
      <c r="J258" s="2"/>
      <c r="K258" s="2"/>
      <c r="L258" s="2"/>
      <c r="M258" s="2"/>
      <c r="N258" s="2"/>
      <c r="O258" s="2"/>
      <c r="P258" s="2"/>
      <c r="Q258" s="2"/>
      <c r="R258" s="2"/>
      <c r="S258" s="2"/>
      <c r="T258" s="2"/>
      <c r="U258" s="2"/>
      <c r="V258" s="2"/>
      <c r="W258" s="2"/>
      <c r="X258" s="2"/>
      <c r="Y258" s="2"/>
      <c r="Z258" s="2"/>
    </row>
    <row r="259" spans="1:26" ht="18.75" customHeight="1" x14ac:dyDescent="0.3">
      <c r="A259" s="82">
        <v>-0.1</v>
      </c>
      <c r="B259" s="56">
        <f>B261*(1+A259)</f>
        <v>2.037109090909091</v>
      </c>
      <c r="C259" s="355">
        <f t="shared" si="33"/>
        <v>-0.36575292045454644</v>
      </c>
      <c r="D259" s="355">
        <f t="shared" si="34"/>
        <v>-0.1683867954545466</v>
      </c>
      <c r="E259" s="355">
        <f t="shared" si="35"/>
        <v>2.8979329545453236E-2</v>
      </c>
      <c r="F259" s="355">
        <f>F257-($B$259+$I$227+$I$237)+($I$19+$I$20+$I$24+$I$241)</f>
        <v>0.22634545454545352</v>
      </c>
      <c r="G259" s="355">
        <f t="shared" si="36"/>
        <v>0.42371157954545335</v>
      </c>
      <c r="H259" s="355">
        <f t="shared" si="37"/>
        <v>0.62107770454545363</v>
      </c>
      <c r="I259" s="355">
        <f t="shared" si="38"/>
        <v>0.81844382954545303</v>
      </c>
      <c r="J259" s="2"/>
      <c r="K259" s="2"/>
      <c r="L259" s="2"/>
      <c r="M259" s="2"/>
      <c r="N259" s="2"/>
      <c r="O259" s="2"/>
      <c r="P259" s="2"/>
      <c r="Q259" s="2"/>
      <c r="R259" s="2"/>
      <c r="S259" s="2"/>
      <c r="T259" s="2"/>
      <c r="U259" s="2"/>
      <c r="V259" s="2"/>
      <c r="W259" s="2"/>
      <c r="X259" s="2"/>
      <c r="Y259" s="2"/>
      <c r="Z259" s="2"/>
    </row>
    <row r="260" spans="1:26" ht="18.75" customHeight="1" x14ac:dyDescent="0.3">
      <c r="A260" s="82">
        <v>-0.05</v>
      </c>
      <c r="B260" s="56">
        <f>B261*(1+A260)</f>
        <v>2.150281818181818</v>
      </c>
      <c r="C260" s="355">
        <f t="shared" si="33"/>
        <v>-0.47892564772727253</v>
      </c>
      <c r="D260" s="355">
        <f t="shared" si="34"/>
        <v>-0.28155952272727269</v>
      </c>
      <c r="E260" s="355">
        <f t="shared" si="35"/>
        <v>-8.4193397727272856E-2</v>
      </c>
      <c r="F260" s="355">
        <f>F257-($B$260+$I$227+$I$237)+($I$19+$I$20+$I$24+$I$241)</f>
        <v>0.11317272727272742</v>
      </c>
      <c r="G260" s="355">
        <f t="shared" si="36"/>
        <v>0.31053885227272726</v>
      </c>
      <c r="H260" s="355">
        <f t="shared" si="37"/>
        <v>0.50790497727272754</v>
      </c>
      <c r="I260" s="355">
        <f t="shared" si="38"/>
        <v>0.70527110227272694</v>
      </c>
      <c r="J260" s="2"/>
      <c r="K260" s="2"/>
      <c r="L260" s="2"/>
      <c r="M260" s="2"/>
      <c r="N260" s="2"/>
      <c r="O260" s="2"/>
      <c r="P260" s="2"/>
      <c r="Q260" s="2"/>
      <c r="R260" s="2"/>
      <c r="S260" s="2"/>
      <c r="T260" s="2"/>
      <c r="U260" s="2"/>
      <c r="V260" s="2"/>
      <c r="W260" s="2"/>
      <c r="X260" s="2"/>
      <c r="Y260" s="2"/>
      <c r="Z260" s="2"/>
    </row>
    <row r="261" spans="1:26" ht="18.75" customHeight="1" x14ac:dyDescent="0.3">
      <c r="A261" s="79"/>
      <c r="B261" s="57">
        <f>I241</f>
        <v>2.2634545454545454</v>
      </c>
      <c r="C261" s="355">
        <f t="shared" si="33"/>
        <v>-0.5920983750000004</v>
      </c>
      <c r="D261" s="355">
        <f t="shared" si="34"/>
        <v>-0.39473225000000056</v>
      </c>
      <c r="E261" s="355">
        <f t="shared" si="35"/>
        <v>-0.19736612500000073</v>
      </c>
      <c r="F261" s="57">
        <f>$F$257-(B261+$I$227+$I$237)+($I$19+$I$20+$I$24+$I$241)</f>
        <v>0</v>
      </c>
      <c r="G261" s="355">
        <f t="shared" si="36"/>
        <v>0.19736612499999939</v>
      </c>
      <c r="H261" s="355">
        <f t="shared" si="37"/>
        <v>0.39473224999999967</v>
      </c>
      <c r="I261" s="355">
        <f t="shared" si="38"/>
        <v>0.59209837499999907</v>
      </c>
      <c r="J261" s="2"/>
      <c r="K261" s="2"/>
      <c r="L261" s="2"/>
      <c r="M261" s="2"/>
      <c r="N261" s="2"/>
      <c r="O261" s="2"/>
      <c r="P261" s="2"/>
      <c r="Q261" s="2"/>
      <c r="R261" s="2"/>
      <c r="S261" s="2"/>
      <c r="T261" s="2"/>
      <c r="U261" s="2"/>
      <c r="V261" s="2"/>
      <c r="W261" s="2"/>
      <c r="X261" s="2"/>
      <c r="Y261" s="2"/>
      <c r="Z261" s="2"/>
    </row>
    <row r="262" spans="1:26" ht="18.75" customHeight="1" x14ac:dyDescent="0.3">
      <c r="A262" s="82">
        <v>0.05</v>
      </c>
      <c r="B262" s="56">
        <f>B261*(1+A262)</f>
        <v>2.3766272727272728</v>
      </c>
      <c r="C262" s="355">
        <f t="shared" si="33"/>
        <v>-0.70527110227272827</v>
      </c>
      <c r="D262" s="355">
        <f t="shared" si="34"/>
        <v>-0.50790497727272843</v>
      </c>
      <c r="E262" s="355">
        <f t="shared" si="35"/>
        <v>-0.31053885227272859</v>
      </c>
      <c r="F262" s="355">
        <f>$F$257-(B262+$I$227+$I$237)+($I$19+$I$20+$I$24+$I$241)</f>
        <v>-0.11317272727272831</v>
      </c>
      <c r="G262" s="355">
        <f t="shared" si="36"/>
        <v>8.4193397727271524E-2</v>
      </c>
      <c r="H262" s="355">
        <f t="shared" si="37"/>
        <v>0.2815595227272718</v>
      </c>
      <c r="I262" s="355">
        <f t="shared" si="38"/>
        <v>0.4789256477272712</v>
      </c>
      <c r="J262" s="2"/>
      <c r="K262" s="2"/>
      <c r="L262" s="2"/>
      <c r="M262" s="2"/>
      <c r="N262" s="2"/>
      <c r="O262" s="2"/>
      <c r="P262" s="2"/>
      <c r="Q262" s="2"/>
      <c r="R262" s="2"/>
      <c r="S262" s="2"/>
      <c r="T262" s="2"/>
      <c r="U262" s="2"/>
      <c r="V262" s="2"/>
      <c r="W262" s="2"/>
      <c r="X262" s="2"/>
      <c r="Y262" s="2"/>
      <c r="Z262" s="2"/>
    </row>
    <row r="263" spans="1:26" ht="18.75" customHeight="1" x14ac:dyDescent="0.3">
      <c r="A263" s="82">
        <v>0.1</v>
      </c>
      <c r="B263" s="56">
        <f>B261*(1+A263)</f>
        <v>2.4898000000000002</v>
      </c>
      <c r="C263" s="355">
        <f t="shared" si="33"/>
        <v>-0.81844382954545436</v>
      </c>
      <c r="D263" s="355">
        <f t="shared" si="34"/>
        <v>-0.62107770454545452</v>
      </c>
      <c r="E263" s="355">
        <f t="shared" si="35"/>
        <v>-0.42371157954545469</v>
      </c>
      <c r="F263" s="355">
        <f>$F$257-(B263+$I$227+$I$237)+($I$19+$I$20+$I$24+$I$241)</f>
        <v>-0.22634545454545441</v>
      </c>
      <c r="G263" s="355">
        <f t="shared" si="36"/>
        <v>-2.8979329545454569E-2</v>
      </c>
      <c r="H263" s="355">
        <f t="shared" si="37"/>
        <v>0.16838679545454571</v>
      </c>
      <c r="I263" s="355">
        <f t="shared" si="38"/>
        <v>0.36575292045454511</v>
      </c>
      <c r="J263" s="2"/>
      <c r="K263" s="2"/>
      <c r="L263" s="2"/>
      <c r="M263" s="2"/>
      <c r="N263" s="2"/>
      <c r="O263" s="2"/>
      <c r="P263" s="2"/>
      <c r="Q263" s="2"/>
      <c r="R263" s="2"/>
      <c r="S263" s="2"/>
      <c r="T263" s="2"/>
      <c r="U263" s="2"/>
      <c r="V263" s="2"/>
      <c r="W263" s="2"/>
      <c r="X263" s="2"/>
      <c r="Y263" s="2"/>
      <c r="Z263" s="2"/>
    </row>
    <row r="264" spans="1:26" ht="18.75" customHeight="1" x14ac:dyDescent="0.3">
      <c r="A264" s="82">
        <v>0.15</v>
      </c>
      <c r="B264" s="56">
        <f>B261*(1+A264)</f>
        <v>2.6029727272727268</v>
      </c>
      <c r="C264" s="355">
        <f t="shared" si="33"/>
        <v>-0.93161655681818223</v>
      </c>
      <c r="D264" s="355">
        <f t="shared" si="34"/>
        <v>-0.73425043181818239</v>
      </c>
      <c r="E264" s="355">
        <f t="shared" si="35"/>
        <v>-0.53688430681818256</v>
      </c>
      <c r="F264" s="355">
        <f>$F$257-(B264+$I$227+$I$237)+($I$19+$I$20+$I$24+$I$241)</f>
        <v>-0.33951818181818227</v>
      </c>
      <c r="G264" s="355">
        <f t="shared" si="36"/>
        <v>-0.14215205681818244</v>
      </c>
      <c r="H264" s="355">
        <f t="shared" si="37"/>
        <v>5.5214068181817844E-2</v>
      </c>
      <c r="I264" s="355">
        <f t="shared" si="38"/>
        <v>0.25258019318181724</v>
      </c>
      <c r="J264" s="2"/>
      <c r="K264" s="2"/>
      <c r="L264" s="2"/>
      <c r="M264" s="2"/>
      <c r="N264" s="2"/>
      <c r="O264" s="2"/>
      <c r="P264" s="2"/>
      <c r="Q264" s="2"/>
      <c r="R264" s="2"/>
      <c r="S264" s="2"/>
      <c r="T264" s="2"/>
      <c r="U264" s="2"/>
      <c r="V264" s="2"/>
      <c r="W264" s="2"/>
      <c r="X264" s="2"/>
      <c r="Y264" s="2"/>
      <c r="Z264" s="2"/>
    </row>
    <row r="265" spans="1:26" ht="18.75" customHeight="1" x14ac:dyDescent="0.3">
      <c r="A265" s="112"/>
      <c r="B265" s="84"/>
      <c r="C265" s="113"/>
      <c r="D265" s="113"/>
      <c r="E265" s="113"/>
      <c r="F265" s="113"/>
      <c r="G265" s="113"/>
      <c r="H265" s="113"/>
      <c r="I265" s="113"/>
      <c r="J265" s="2"/>
      <c r="K265" s="2"/>
      <c r="L265" s="2"/>
      <c r="M265" s="2"/>
      <c r="N265" s="2"/>
      <c r="O265" s="2"/>
      <c r="P265" s="2"/>
      <c r="Q265" s="2"/>
      <c r="R265" s="2"/>
      <c r="S265" s="2"/>
      <c r="T265" s="2"/>
      <c r="U265" s="2"/>
      <c r="V265" s="2"/>
      <c r="W265" s="2"/>
      <c r="X265" s="2"/>
      <c r="Y265" s="2"/>
      <c r="Z265" s="2"/>
    </row>
    <row r="266" spans="1:26" ht="18.75" customHeight="1" x14ac:dyDescent="0.3">
      <c r="A266" s="311" t="s">
        <v>189</v>
      </c>
      <c r="B266" s="309"/>
      <c r="C266" s="309"/>
      <c r="D266" s="309"/>
      <c r="E266" s="309"/>
      <c r="F266" s="309"/>
      <c r="G266" s="309"/>
      <c r="H266" s="309"/>
      <c r="I266" s="314"/>
      <c r="J266" s="2"/>
      <c r="K266" s="2"/>
      <c r="L266" s="2"/>
      <c r="M266" s="2"/>
      <c r="N266" s="2"/>
      <c r="O266" s="2"/>
      <c r="P266" s="2"/>
      <c r="Q266" s="2"/>
      <c r="R266" s="2"/>
      <c r="S266" s="2"/>
      <c r="T266" s="2"/>
      <c r="U266" s="2"/>
      <c r="V266" s="2"/>
      <c r="W266" s="2"/>
      <c r="X266" s="2"/>
      <c r="Y266" s="2"/>
      <c r="Z266" s="2"/>
    </row>
    <row r="267" spans="1:26" ht="22.5" customHeight="1" x14ac:dyDescent="0.3">
      <c r="A267" s="308" t="s">
        <v>190</v>
      </c>
      <c r="B267" s="307"/>
      <c r="C267" s="309"/>
      <c r="D267" s="309"/>
      <c r="E267" s="309"/>
      <c r="F267" s="309"/>
      <c r="G267" s="309"/>
      <c r="H267" s="309"/>
      <c r="I267" s="309"/>
      <c r="J267" s="2"/>
      <c r="K267" s="2"/>
      <c r="L267" s="2"/>
      <c r="M267" s="2"/>
      <c r="N267" s="2"/>
      <c r="O267" s="2"/>
      <c r="P267" s="2"/>
      <c r="Q267" s="2"/>
      <c r="R267" s="2"/>
      <c r="S267" s="2"/>
      <c r="T267" s="2"/>
      <c r="U267" s="2"/>
      <c r="V267" s="2"/>
      <c r="W267" s="2"/>
      <c r="X267" s="2"/>
      <c r="Y267" s="2"/>
      <c r="Z267" s="2"/>
    </row>
    <row r="268" spans="1:26" ht="22.5" customHeight="1" x14ac:dyDescent="0.3">
      <c r="A268" s="311" t="s">
        <v>191</v>
      </c>
      <c r="B268" s="307"/>
      <c r="C268" s="309"/>
      <c r="D268" s="309"/>
      <c r="E268" s="309"/>
      <c r="F268" s="309"/>
      <c r="G268" s="309"/>
      <c r="H268" s="309"/>
      <c r="I268" s="309"/>
      <c r="J268" s="2"/>
      <c r="K268" s="2"/>
      <c r="L268" s="2"/>
      <c r="M268" s="2"/>
      <c r="N268" s="2"/>
      <c r="O268" s="2"/>
      <c r="P268" s="2"/>
      <c r="Q268" s="2"/>
      <c r="R268" s="2"/>
      <c r="S268" s="2"/>
      <c r="T268" s="2"/>
      <c r="U268" s="2"/>
      <c r="V268" s="2"/>
      <c r="W268" s="2"/>
      <c r="X268" s="2"/>
      <c r="Y268" s="2"/>
      <c r="Z268" s="2"/>
    </row>
    <row r="269" spans="1:26" s="43" customFormat="1" ht="37.5" customHeight="1" x14ac:dyDescent="0.3">
      <c r="A269" s="47"/>
      <c r="B269" s="7"/>
      <c r="C269" s="7"/>
      <c r="D269" s="7"/>
      <c r="E269" s="173" t="s">
        <v>126</v>
      </c>
      <c r="F269" s="173" t="s">
        <v>153</v>
      </c>
      <c r="G269" s="325" t="s">
        <v>133</v>
      </c>
      <c r="H269" s="96" t="s">
        <v>13</v>
      </c>
      <c r="I269" s="95" t="s">
        <v>14</v>
      </c>
      <c r="J269" s="7"/>
      <c r="K269" s="7"/>
      <c r="L269" s="7"/>
      <c r="M269" s="7"/>
      <c r="N269" s="7"/>
      <c r="O269" s="7"/>
      <c r="P269" s="7"/>
      <c r="Q269" s="7"/>
      <c r="R269" s="7"/>
      <c r="S269" s="7"/>
      <c r="T269" s="7"/>
      <c r="U269" s="7"/>
      <c r="V269" s="7"/>
      <c r="W269" s="7"/>
      <c r="X269" s="7"/>
      <c r="Y269" s="7"/>
      <c r="Z269" s="7"/>
    </row>
    <row r="270" spans="1:26" ht="18.75" customHeight="1" x14ac:dyDescent="0.3">
      <c r="A270" s="31" t="s">
        <v>192</v>
      </c>
      <c r="B270" s="1"/>
      <c r="C270" s="1"/>
      <c r="D270" s="1"/>
      <c r="E270" s="85">
        <v>600</v>
      </c>
      <c r="F270" s="86">
        <v>0.5</v>
      </c>
      <c r="G270" s="87">
        <f>E270*(F270)</f>
        <v>300</v>
      </c>
      <c r="H270" s="88">
        <f>G270/$H$8</f>
        <v>6.666666666666667</v>
      </c>
      <c r="I270" s="89">
        <f>G270/$I$12</f>
        <v>6.8181818181818177E-2</v>
      </c>
      <c r="J270" s="1"/>
      <c r="K270" s="1"/>
      <c r="L270" s="1"/>
      <c r="M270" s="1"/>
      <c r="N270" s="1"/>
      <c r="O270" s="1"/>
      <c r="P270" s="1"/>
      <c r="Q270" s="1"/>
      <c r="R270" s="1"/>
      <c r="S270" s="1"/>
      <c r="T270" s="1"/>
      <c r="U270" s="1"/>
      <c r="V270" s="1"/>
      <c r="W270" s="1"/>
      <c r="X270" s="1"/>
      <c r="Y270" s="1"/>
      <c r="Z270" s="1"/>
    </row>
    <row r="271" spans="1:26" ht="18.75" customHeight="1" x14ac:dyDescent="0.3">
      <c r="A271" s="31" t="s">
        <v>193</v>
      </c>
      <c r="B271" s="1"/>
      <c r="C271" s="1"/>
      <c r="D271" s="1"/>
      <c r="E271" s="85">
        <v>12000</v>
      </c>
      <c r="F271" s="86">
        <v>0.1</v>
      </c>
      <c r="G271" s="87">
        <f>E271*(F271)</f>
        <v>1200</v>
      </c>
      <c r="H271" s="88">
        <f t="shared" ref="H271:H272" si="39">G271/$H$8</f>
        <v>26.666666666666668</v>
      </c>
      <c r="I271" s="89">
        <f t="shared" ref="I271:I272" si="40">G271/$I$12</f>
        <v>0.27272727272727271</v>
      </c>
      <c r="J271" s="1"/>
      <c r="K271" s="1"/>
      <c r="L271" s="1"/>
      <c r="M271" s="1"/>
      <c r="N271" s="1"/>
      <c r="O271" s="1"/>
      <c r="P271" s="1"/>
      <c r="Q271" s="1"/>
      <c r="R271" s="1"/>
      <c r="S271" s="1"/>
      <c r="T271" s="1"/>
      <c r="U271" s="1"/>
      <c r="V271" s="1"/>
      <c r="W271" s="1"/>
      <c r="X271" s="1"/>
      <c r="Y271" s="1"/>
      <c r="Z271" s="1"/>
    </row>
    <row r="272" spans="1:26" ht="18.75" customHeight="1" x14ac:dyDescent="0.3">
      <c r="A272" s="31" t="s">
        <v>194</v>
      </c>
      <c r="B272" s="1"/>
      <c r="C272" s="1"/>
      <c r="D272" s="1"/>
      <c r="E272" s="85">
        <v>2750</v>
      </c>
      <c r="F272" s="86">
        <v>0.2</v>
      </c>
      <c r="G272" s="87">
        <f>E272*(F272)</f>
        <v>550</v>
      </c>
      <c r="H272" s="88">
        <f t="shared" si="39"/>
        <v>12.222222222222221</v>
      </c>
      <c r="I272" s="89">
        <f t="shared" si="40"/>
        <v>0.125</v>
      </c>
      <c r="J272" s="1"/>
      <c r="K272" s="1"/>
      <c r="L272" s="1"/>
      <c r="M272" s="1"/>
      <c r="N272" s="1"/>
      <c r="O272" s="1"/>
      <c r="P272" s="1"/>
      <c r="Q272" s="1"/>
      <c r="R272" s="1"/>
      <c r="S272" s="1"/>
      <c r="T272" s="1"/>
      <c r="U272" s="1"/>
      <c r="V272" s="1"/>
      <c r="W272" s="1"/>
      <c r="X272" s="1"/>
      <c r="Y272" s="1"/>
      <c r="Z272" s="1"/>
    </row>
    <row r="273" spans="1:26" ht="18.75" customHeight="1" x14ac:dyDescent="0.3">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s="48" customFormat="1" ht="18.75" customHeight="1" x14ac:dyDescent="0.3">
      <c r="A274" s="31" t="s">
        <v>195</v>
      </c>
      <c r="B274" s="31"/>
      <c r="C274" s="31"/>
      <c r="D274" s="31"/>
      <c r="E274" s="31"/>
      <c r="F274" s="31"/>
      <c r="G274" s="75">
        <f>G217-(G227-G226)-G232-G270-G271-G272</f>
        <v>-517.900000000001</v>
      </c>
      <c r="H274" s="76">
        <f>H217-(H227-H226)-H232-H270-H271-H272</f>
        <v>-11.50888888888889</v>
      </c>
      <c r="I274" s="77">
        <f>I217-(I227-I226)-I232-I270-I271-I272</f>
        <v>-0.11770454545454501</v>
      </c>
      <c r="J274" s="31"/>
      <c r="K274" s="31"/>
      <c r="L274" s="31"/>
      <c r="M274" s="31"/>
      <c r="N274" s="31"/>
      <c r="O274" s="31"/>
      <c r="P274" s="31"/>
      <c r="Q274" s="31"/>
      <c r="R274" s="31"/>
      <c r="S274" s="31"/>
      <c r="T274" s="31"/>
      <c r="U274" s="31"/>
      <c r="V274" s="31"/>
      <c r="W274" s="31"/>
      <c r="X274" s="31"/>
      <c r="Y274" s="31"/>
      <c r="Z274" s="31"/>
    </row>
    <row r="275" spans="1:26" ht="18.75" customHeight="1" x14ac:dyDescent="0.3">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8.75" customHeight="1" x14ac:dyDescent="0.3">
      <c r="A276" s="31" t="s">
        <v>196</v>
      </c>
      <c r="B276" s="2"/>
      <c r="C276" s="2"/>
      <c r="D276" s="2"/>
      <c r="E276" s="2"/>
      <c r="F276" s="2"/>
      <c r="G276" s="2"/>
      <c r="H276" s="50">
        <f>(H227-H226)+H270+H271+H272</f>
        <v>329.91777777777781</v>
      </c>
      <c r="I276" s="41">
        <f>(I227-I226)+I270+I271+I272</f>
        <v>3.3741590909090906</v>
      </c>
      <c r="J276" s="2"/>
      <c r="K276" s="2"/>
      <c r="L276" s="2"/>
      <c r="M276" s="2"/>
      <c r="N276" s="2"/>
      <c r="O276" s="2"/>
      <c r="P276" s="2"/>
      <c r="Q276" s="2"/>
      <c r="R276" s="2"/>
      <c r="S276" s="2"/>
      <c r="T276" s="2"/>
      <c r="U276" s="2"/>
      <c r="V276" s="2"/>
      <c r="W276" s="2"/>
      <c r="X276" s="2"/>
      <c r="Y276" s="2"/>
      <c r="Z276" s="2"/>
    </row>
    <row r="277" spans="1:26" ht="18.75" customHeight="1" x14ac:dyDescent="0.3">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8.75" customHeight="1" x14ac:dyDescent="0.3">
      <c r="A278" s="31" t="s">
        <v>197</v>
      </c>
      <c r="B278" s="2"/>
      <c r="C278" s="2"/>
      <c r="D278" s="2"/>
      <c r="E278" s="2"/>
      <c r="F278" s="2"/>
      <c r="G278" s="2"/>
      <c r="H278" s="2"/>
      <c r="I278" s="41">
        <f>I276-I214-I216</f>
        <v>3.1655227272727271</v>
      </c>
      <c r="J278" s="2"/>
      <c r="K278" s="2"/>
      <c r="L278" s="2"/>
      <c r="M278" s="2"/>
      <c r="N278" s="2"/>
      <c r="O278" s="2"/>
      <c r="P278" s="2"/>
      <c r="Q278" s="2"/>
      <c r="R278" s="2"/>
      <c r="S278" s="2"/>
      <c r="T278" s="2"/>
      <c r="U278" s="2"/>
      <c r="V278" s="2"/>
      <c r="W278" s="2"/>
      <c r="X278" s="2"/>
      <c r="Y278" s="2"/>
      <c r="Z278" s="2"/>
    </row>
    <row r="279" spans="1:26" ht="18.75" customHeight="1" x14ac:dyDescent="0.3">
      <c r="A279" s="31"/>
      <c r="B279" s="2"/>
      <c r="C279" s="2"/>
      <c r="D279" s="2"/>
      <c r="E279" s="2"/>
      <c r="F279" s="2"/>
      <c r="G279" s="2"/>
      <c r="H279" s="2"/>
      <c r="I279" s="84"/>
      <c r="J279" s="2"/>
      <c r="K279" s="2"/>
      <c r="L279" s="2"/>
      <c r="M279" s="2"/>
      <c r="N279" s="2"/>
      <c r="O279" s="2"/>
      <c r="P279" s="2"/>
      <c r="Q279" s="2"/>
      <c r="R279" s="2"/>
      <c r="S279" s="2"/>
      <c r="T279" s="2"/>
      <c r="U279" s="2"/>
      <c r="V279" s="2"/>
      <c r="W279" s="2"/>
      <c r="X279" s="2"/>
      <c r="Y279" s="2"/>
      <c r="Z279" s="2"/>
    </row>
    <row r="280" spans="1:26" ht="18.75" customHeight="1" x14ac:dyDescent="0.3">
      <c r="A280" s="116" t="s">
        <v>198</v>
      </c>
      <c r="B280" s="164"/>
      <c r="C280" s="164"/>
      <c r="D280" s="164"/>
      <c r="E280" s="164"/>
      <c r="F280" s="315"/>
      <c r="G280" s="164"/>
      <c r="H280" s="164"/>
      <c r="I280" s="164"/>
      <c r="J280" s="2"/>
      <c r="K280" s="2"/>
      <c r="L280" s="2"/>
      <c r="M280" s="2"/>
      <c r="N280" s="2"/>
      <c r="O280" s="2"/>
      <c r="P280" s="2"/>
      <c r="Q280" s="2"/>
      <c r="R280" s="2"/>
      <c r="S280" s="2"/>
      <c r="T280" s="2"/>
      <c r="U280" s="2"/>
      <c r="V280" s="2"/>
      <c r="W280" s="2"/>
      <c r="X280" s="2"/>
      <c r="Y280" s="2"/>
      <c r="Z280" s="2"/>
    </row>
    <row r="281" spans="1:26" s="48" customFormat="1" ht="18.75" customHeight="1" x14ac:dyDescent="0.3">
      <c r="A281" s="31" t="s">
        <v>199</v>
      </c>
      <c r="B281" s="31"/>
      <c r="C281" s="31"/>
      <c r="D281" s="31"/>
      <c r="E281" s="31"/>
      <c r="F281" s="31"/>
      <c r="G281" s="31"/>
      <c r="H281" s="31"/>
      <c r="I281" s="31"/>
      <c r="J281" s="31"/>
      <c r="K281" s="31"/>
      <c r="L281" s="31"/>
      <c r="M281" s="31"/>
      <c r="N281" s="31"/>
      <c r="O281" s="31"/>
      <c r="P281" s="31"/>
      <c r="Q281" s="31"/>
      <c r="R281" s="31"/>
      <c r="S281" s="31"/>
      <c r="T281" s="31"/>
      <c r="U281" s="31"/>
      <c r="V281" s="31"/>
      <c r="W281" s="31"/>
      <c r="X281" s="31"/>
      <c r="Y281" s="31"/>
      <c r="Z281" s="31"/>
    </row>
    <row r="282" spans="1:26" ht="18.75" customHeight="1" x14ac:dyDescent="0.3">
      <c r="A282" s="54"/>
      <c r="B282" s="2"/>
      <c r="C282" s="81">
        <v>-0.15</v>
      </c>
      <c r="D282" s="81">
        <v>-0.1</v>
      </c>
      <c r="E282" s="81">
        <v>-0.05</v>
      </c>
      <c r="F282" s="80"/>
      <c r="G282" s="81">
        <v>0.05</v>
      </c>
      <c r="H282" s="81">
        <v>0.1</v>
      </c>
      <c r="I282" s="81">
        <v>0.15</v>
      </c>
      <c r="J282" s="2"/>
      <c r="K282" s="2"/>
      <c r="L282" s="2"/>
      <c r="M282" s="2"/>
      <c r="N282" s="2"/>
      <c r="O282" s="2"/>
      <c r="P282" s="2"/>
      <c r="Q282" s="2"/>
      <c r="R282" s="2"/>
      <c r="S282" s="2"/>
      <c r="T282" s="2"/>
      <c r="U282" s="2"/>
      <c r="V282" s="2"/>
      <c r="W282" s="2"/>
      <c r="X282" s="2"/>
      <c r="Y282" s="2"/>
      <c r="Z282" s="2"/>
    </row>
    <row r="283" spans="1:26" ht="18.75" customHeight="1" x14ac:dyDescent="0.3">
      <c r="A283" s="2"/>
      <c r="B283" s="55"/>
      <c r="C283" s="56">
        <f>F283*(1+C282)</f>
        <v>2.6906943181818179</v>
      </c>
      <c r="D283" s="56">
        <f>F283*(1+D282)</f>
        <v>2.8489704545454546</v>
      </c>
      <c r="E283" s="56">
        <f>F283*(1+E282)</f>
        <v>3.0072465909090904</v>
      </c>
      <c r="F283" s="57">
        <f>I278</f>
        <v>3.1655227272727271</v>
      </c>
      <c r="G283" s="56">
        <f>F283*(1+G282)</f>
        <v>3.3237988636363638</v>
      </c>
      <c r="H283" s="56">
        <f>F283*(1+H282)</f>
        <v>3.482075</v>
      </c>
      <c r="I283" s="56">
        <f>F283*(1+I282)</f>
        <v>3.6403511363636358</v>
      </c>
      <c r="J283" s="2"/>
      <c r="K283" s="2"/>
      <c r="L283" s="2"/>
      <c r="M283" s="2"/>
      <c r="N283" s="2"/>
      <c r="O283" s="2"/>
      <c r="P283" s="2"/>
      <c r="Q283" s="2"/>
      <c r="R283" s="2"/>
      <c r="S283" s="2"/>
      <c r="T283" s="2"/>
      <c r="U283" s="2"/>
      <c r="V283" s="2"/>
      <c r="W283" s="2"/>
      <c r="X283" s="2"/>
      <c r="Y283" s="2"/>
      <c r="Z283" s="2"/>
    </row>
    <row r="284" spans="1:26" ht="18.75" customHeight="1" x14ac:dyDescent="0.3">
      <c r="A284" s="82">
        <v>-0.15</v>
      </c>
      <c r="B284" s="56">
        <f>B287*(1+A284)</f>
        <v>1.9239363636363636</v>
      </c>
      <c r="C284" s="355">
        <f>$C$283-(B284+$I$270+$I$271+$I$272+$I$119+$I$84+$I$65)+($I$19+$I$20+$I$24+$I$209)</f>
        <v>-0.1353102272727274</v>
      </c>
      <c r="D284" s="355">
        <f>$D$283-(B284+$I$270+$I$271+$I$272+$I$119+$I$84+$I$65)+($I$19+$I$20+$I$24+$I$209)</f>
        <v>2.2965909090909287E-2</v>
      </c>
      <c r="E284" s="355">
        <f>$E$283-(B284+$I$270+$I$271+$I$272+$I$119+$I$84+$I$65)+($I$19+$I$20+$I$24+$I$209)</f>
        <v>0.18124204545454509</v>
      </c>
      <c r="F284" s="355">
        <f>$F$283-(B284+$I$270+$I$271+$I$272+$I$119+$I$84+$I$65)+($I$19+$I$20+$I$24+$I$209)</f>
        <v>0.33951818181818177</v>
      </c>
      <c r="G284" s="355">
        <f>$G$283-(B284+$I$270+$I$271+$I$272+$I$119+$I$84+$I$65)+($I$19+$I$20+$I$24+$I$209)</f>
        <v>0.49779431818181846</v>
      </c>
      <c r="H284" s="355">
        <f>$H$283-(B284+$I$270+$I$271+$I$272+$I$119+$I$84+$I$65)+($I$19+$I$20+$I$24+$I$209)</f>
        <v>0.65607045454545476</v>
      </c>
      <c r="I284" s="355">
        <f>$I$283-(B284+$I$270+$I$271+$I$272+$I$119+$I$84+$I$65)+($I$19+$I$20+$I$24+$I$209)</f>
        <v>0.81434659090909056</v>
      </c>
      <c r="J284" s="2"/>
      <c r="K284" s="2"/>
      <c r="L284" s="2"/>
      <c r="M284" s="2"/>
      <c r="N284" s="2"/>
      <c r="O284" s="2"/>
      <c r="P284" s="2"/>
      <c r="Q284" s="2"/>
      <c r="R284" s="2"/>
      <c r="S284" s="2"/>
      <c r="T284" s="2"/>
      <c r="U284" s="2"/>
      <c r="V284" s="2"/>
      <c r="W284" s="2"/>
      <c r="X284" s="2"/>
      <c r="Y284" s="2"/>
      <c r="Z284" s="2"/>
    </row>
    <row r="285" spans="1:26" ht="18.75" customHeight="1" x14ac:dyDescent="0.3">
      <c r="A285" s="82">
        <v>-0.1</v>
      </c>
      <c r="B285" s="56">
        <f>B287*(1+A285)</f>
        <v>2.037109090909091</v>
      </c>
      <c r="C285" s="355">
        <f t="shared" ref="C285:C290" si="41">$C$283-(B285+$I$270+$I$271+$I$272+$I$119+$I$84+$I$65)+($I$19+$I$20+$I$24+$I$209)</f>
        <v>-0.24848295454545483</v>
      </c>
      <c r="D285" s="355">
        <f t="shared" ref="D285:D290" si="42">$D$283-(B285+$I$270+$I$271+$I$272+$I$119+$I$84+$I$65)+($I$19+$I$20+$I$24+$I$209)</f>
        <v>-9.0206818181818138E-2</v>
      </c>
      <c r="E285" s="355">
        <f t="shared" ref="E285:E290" si="43">$E$283-(B285+$I$270+$I$271+$I$272+$I$119+$I$84+$I$65)+($I$19+$I$20+$I$24+$I$209)</f>
        <v>6.8069318181817662E-2</v>
      </c>
      <c r="F285" s="355">
        <f t="shared" ref="F285:F290" si="44">$F$283-(B285+$I$270+$I$271+$I$272+$I$119+$I$84+$I$65)+($I$19+$I$20+$I$24+$I$209)</f>
        <v>0.22634545454545435</v>
      </c>
      <c r="G285" s="355">
        <f t="shared" ref="G285:G290" si="45">$G$283-(B285+$I$270+$I$271+$I$272+$I$119+$I$84+$I$65)+($I$19+$I$20+$I$24+$I$209)</f>
        <v>0.38462159090909104</v>
      </c>
      <c r="H285" s="355">
        <f t="shared" ref="H285:H290" si="46">$H$283-(B285+$I$270+$I$271+$I$272+$I$119+$I$84+$I$65)+($I$19+$I$20+$I$24+$I$209)</f>
        <v>0.54289772727272734</v>
      </c>
      <c r="I285" s="355">
        <f t="shared" ref="I285:I290" si="47">$I$283-(B285+$I$270+$I$271+$I$272+$I$119+$I$84+$I$65)+($I$19+$I$20+$I$24+$I$209)</f>
        <v>0.70117386363636314</v>
      </c>
      <c r="J285" s="2"/>
      <c r="K285" s="2"/>
      <c r="L285" s="2"/>
      <c r="M285" s="2"/>
      <c r="N285" s="2"/>
      <c r="O285" s="2"/>
      <c r="P285" s="2"/>
      <c r="Q285" s="2"/>
      <c r="R285" s="2"/>
      <c r="S285" s="2"/>
      <c r="T285" s="2"/>
      <c r="U285" s="2"/>
      <c r="V285" s="2"/>
      <c r="W285" s="2"/>
      <c r="X285" s="2"/>
      <c r="Y285" s="2"/>
      <c r="Z285" s="2"/>
    </row>
    <row r="286" spans="1:26" ht="18.75" customHeight="1" x14ac:dyDescent="0.3">
      <c r="A286" s="82">
        <v>-0.05</v>
      </c>
      <c r="B286" s="56">
        <f>B287*(1+A286)</f>
        <v>2.150281818181818</v>
      </c>
      <c r="C286" s="355">
        <f t="shared" si="41"/>
        <v>-0.36165568181818181</v>
      </c>
      <c r="D286" s="355">
        <f t="shared" si="42"/>
        <v>-0.20337954545454512</v>
      </c>
      <c r="E286" s="355">
        <f t="shared" si="43"/>
        <v>-4.5103409090909319E-2</v>
      </c>
      <c r="F286" s="355">
        <f t="shared" si="44"/>
        <v>0.11317272727272737</v>
      </c>
      <c r="G286" s="355">
        <f t="shared" si="45"/>
        <v>0.27144886363636406</v>
      </c>
      <c r="H286" s="355">
        <f t="shared" si="46"/>
        <v>0.4297250000000003</v>
      </c>
      <c r="I286" s="355">
        <f t="shared" si="47"/>
        <v>0.58800113636363616</v>
      </c>
      <c r="J286" s="2"/>
      <c r="K286" s="2"/>
      <c r="L286" s="2"/>
      <c r="M286" s="2"/>
      <c r="N286" s="2"/>
      <c r="O286" s="2"/>
      <c r="P286" s="2"/>
      <c r="Q286" s="2"/>
      <c r="R286" s="2"/>
      <c r="S286" s="2"/>
      <c r="T286" s="2"/>
      <c r="U286" s="2"/>
      <c r="V286" s="2"/>
      <c r="W286" s="2"/>
      <c r="X286" s="2"/>
      <c r="Y286" s="2"/>
      <c r="Z286" s="2"/>
    </row>
    <row r="287" spans="1:26" ht="18.75" customHeight="1" x14ac:dyDescent="0.3">
      <c r="A287" s="56"/>
      <c r="B287" s="57">
        <f>I241</f>
        <v>2.2634545454545454</v>
      </c>
      <c r="C287" s="355">
        <f t="shared" si="41"/>
        <v>-0.47482840909090968</v>
      </c>
      <c r="D287" s="355">
        <f t="shared" si="42"/>
        <v>-0.31655227272727299</v>
      </c>
      <c r="E287" s="355">
        <f t="shared" si="43"/>
        <v>-0.15827613636363719</v>
      </c>
      <c r="F287" s="57">
        <f t="shared" si="44"/>
        <v>-4.9960036108132044E-16</v>
      </c>
      <c r="G287" s="355">
        <f t="shared" si="45"/>
        <v>0.15827613636363619</v>
      </c>
      <c r="H287" s="355">
        <f t="shared" si="46"/>
        <v>0.31655227272727243</v>
      </c>
      <c r="I287" s="355">
        <f t="shared" si="47"/>
        <v>0.47482840909090823</v>
      </c>
      <c r="J287" s="2"/>
      <c r="K287" s="2"/>
      <c r="L287" s="2"/>
      <c r="M287" s="2"/>
      <c r="N287" s="2"/>
      <c r="O287" s="2"/>
      <c r="P287" s="2"/>
      <c r="Q287" s="2"/>
      <c r="R287" s="2"/>
      <c r="S287" s="2"/>
      <c r="T287" s="2"/>
      <c r="U287" s="2"/>
      <c r="V287" s="2"/>
      <c r="W287" s="2"/>
      <c r="X287" s="2"/>
      <c r="Y287" s="2"/>
      <c r="Z287" s="2"/>
    </row>
    <row r="288" spans="1:26" ht="18.75" customHeight="1" x14ac:dyDescent="0.3">
      <c r="A288" s="82">
        <v>0.05</v>
      </c>
      <c r="B288" s="56">
        <f>B287*(1+A288)</f>
        <v>2.3766272727272728</v>
      </c>
      <c r="C288" s="355">
        <f t="shared" si="41"/>
        <v>-0.5880011363636366</v>
      </c>
      <c r="D288" s="355">
        <f t="shared" si="42"/>
        <v>-0.42972499999999997</v>
      </c>
      <c r="E288" s="355">
        <f t="shared" si="43"/>
        <v>-0.27144886363636417</v>
      </c>
      <c r="F288" s="355">
        <f t="shared" si="44"/>
        <v>-0.11317272727272748</v>
      </c>
      <c r="G288" s="355">
        <f t="shared" si="45"/>
        <v>4.5103409090909208E-2</v>
      </c>
      <c r="H288" s="355">
        <f t="shared" si="46"/>
        <v>0.20337954545454545</v>
      </c>
      <c r="I288" s="355">
        <f t="shared" si="47"/>
        <v>0.36165568181818125</v>
      </c>
      <c r="J288" s="2"/>
      <c r="K288" s="2"/>
      <c r="L288" s="2"/>
      <c r="M288" s="2"/>
      <c r="N288" s="2"/>
      <c r="O288" s="2"/>
      <c r="P288" s="2"/>
      <c r="Q288" s="2"/>
      <c r="R288" s="2"/>
      <c r="S288" s="2"/>
      <c r="T288" s="2"/>
      <c r="U288" s="2"/>
      <c r="V288" s="2"/>
      <c r="W288" s="2"/>
      <c r="X288" s="2"/>
      <c r="Y288" s="2"/>
      <c r="Z288" s="2"/>
    </row>
    <row r="289" spans="1:26" ht="18.75" customHeight="1" x14ac:dyDescent="0.3">
      <c r="A289" s="82">
        <v>0.1</v>
      </c>
      <c r="B289" s="56">
        <f>B287*(1+A289)</f>
        <v>2.4898000000000002</v>
      </c>
      <c r="C289" s="355">
        <f t="shared" si="41"/>
        <v>-0.70117386363636447</v>
      </c>
      <c r="D289" s="355">
        <f t="shared" si="42"/>
        <v>-0.54289772727272778</v>
      </c>
      <c r="E289" s="355">
        <f t="shared" si="43"/>
        <v>-0.38462159090909204</v>
      </c>
      <c r="F289" s="355">
        <f t="shared" si="44"/>
        <v>-0.22634545454545535</v>
      </c>
      <c r="G289" s="355">
        <f t="shared" si="45"/>
        <v>-6.8069318181818661E-2</v>
      </c>
      <c r="H289" s="355">
        <f t="shared" si="46"/>
        <v>9.0206818181817583E-2</v>
      </c>
      <c r="I289" s="355">
        <f t="shared" si="47"/>
        <v>0.24848295454545338</v>
      </c>
      <c r="J289" s="2"/>
      <c r="K289" s="2"/>
      <c r="L289" s="2"/>
      <c r="M289" s="2"/>
      <c r="N289" s="2"/>
      <c r="O289" s="2"/>
      <c r="P289" s="2"/>
      <c r="Q289" s="2"/>
      <c r="R289" s="2"/>
      <c r="S289" s="2"/>
      <c r="T289" s="2"/>
      <c r="U289" s="2"/>
      <c r="V289" s="2"/>
      <c r="W289" s="2"/>
      <c r="X289" s="2"/>
      <c r="Y289" s="2"/>
      <c r="Z289" s="2"/>
    </row>
    <row r="290" spans="1:26" ht="18.75" customHeight="1" x14ac:dyDescent="0.3">
      <c r="A290" s="82">
        <v>0.15</v>
      </c>
      <c r="B290" s="56">
        <f>B287*(1+A290)</f>
        <v>2.6029727272727268</v>
      </c>
      <c r="C290" s="355">
        <f t="shared" si="41"/>
        <v>-0.81434659090909056</v>
      </c>
      <c r="D290" s="355">
        <f t="shared" si="42"/>
        <v>-0.65607045454545387</v>
      </c>
      <c r="E290" s="355">
        <f t="shared" si="43"/>
        <v>-0.49779431818181813</v>
      </c>
      <c r="F290" s="355">
        <f t="shared" si="44"/>
        <v>-0.33951818181818144</v>
      </c>
      <c r="G290" s="355">
        <f t="shared" si="45"/>
        <v>-0.18124204545454475</v>
      </c>
      <c r="H290" s="355">
        <f t="shared" si="46"/>
        <v>-2.296590909090851E-2</v>
      </c>
      <c r="I290" s="355">
        <f t="shared" si="47"/>
        <v>0.13531022727272729</v>
      </c>
      <c r="J290" s="2"/>
      <c r="K290" s="2"/>
      <c r="L290" s="2"/>
      <c r="M290" s="2"/>
      <c r="N290" s="2"/>
      <c r="O290" s="2"/>
      <c r="P290" s="2"/>
      <c r="Q290" s="2"/>
      <c r="R290" s="2"/>
      <c r="S290" s="2"/>
      <c r="T290" s="2"/>
      <c r="U290" s="2"/>
      <c r="V290" s="2"/>
      <c r="W290" s="2"/>
      <c r="X290" s="2"/>
      <c r="Y290" s="2"/>
      <c r="Z290" s="2"/>
    </row>
    <row r="291" spans="1:26" ht="18.75" customHeight="1" x14ac:dyDescent="0.3">
      <c r="A291" s="112"/>
      <c r="B291" s="84"/>
      <c r="C291" s="113"/>
      <c r="D291" s="113"/>
      <c r="E291" s="113"/>
      <c r="F291" s="113"/>
      <c r="G291" s="113"/>
      <c r="H291" s="113"/>
      <c r="I291" s="113"/>
      <c r="J291" s="2"/>
      <c r="K291" s="2"/>
      <c r="L291" s="2"/>
      <c r="M291" s="2"/>
      <c r="N291" s="2"/>
      <c r="O291" s="2"/>
      <c r="P291" s="2"/>
      <c r="Q291" s="2"/>
      <c r="R291" s="2"/>
      <c r="S291" s="2"/>
      <c r="T291" s="2"/>
      <c r="U291" s="2"/>
      <c r="V291" s="2"/>
      <c r="W291" s="2"/>
      <c r="X291" s="2"/>
      <c r="Y291" s="2"/>
      <c r="Z291" s="2"/>
    </row>
    <row r="292" spans="1:26" ht="18.75" customHeight="1" x14ac:dyDescent="0.3">
      <c r="A292" s="335" t="s">
        <v>357</v>
      </c>
      <c r="B292" s="84" t="s">
        <v>360</v>
      </c>
      <c r="C292" s="113"/>
      <c r="D292" s="113"/>
      <c r="E292" s="113"/>
      <c r="F292" s="113"/>
      <c r="G292" s="113"/>
      <c r="H292" s="113"/>
      <c r="I292" s="113"/>
      <c r="J292" s="2"/>
      <c r="K292" s="2"/>
      <c r="L292" s="2"/>
      <c r="M292" s="2"/>
      <c r="N292" s="2"/>
      <c r="O292" s="2"/>
      <c r="P292" s="2"/>
      <c r="Q292" s="2"/>
      <c r="R292" s="2"/>
      <c r="S292" s="2"/>
      <c r="T292" s="2"/>
      <c r="U292" s="2"/>
      <c r="V292" s="2"/>
      <c r="W292" s="2"/>
      <c r="X292" s="2"/>
      <c r="Y292" s="2"/>
      <c r="Z292" s="2"/>
    </row>
    <row r="293" spans="1:26" ht="18.75" customHeight="1" x14ac:dyDescent="0.3">
      <c r="A293" s="335"/>
      <c r="B293" s="336" t="s">
        <v>362</v>
      </c>
      <c r="C293" s="113"/>
      <c r="D293" s="113"/>
      <c r="E293" s="113"/>
      <c r="F293" s="113"/>
      <c r="G293" s="113"/>
      <c r="H293" s="113"/>
      <c r="I293" s="113"/>
      <c r="J293" s="2"/>
      <c r="K293" s="2"/>
      <c r="L293" s="2"/>
      <c r="M293" s="2"/>
      <c r="N293" s="2"/>
      <c r="O293" s="2"/>
      <c r="P293" s="2"/>
      <c r="Q293" s="2"/>
      <c r="R293" s="2"/>
      <c r="S293" s="2"/>
      <c r="T293" s="2"/>
      <c r="U293" s="2"/>
      <c r="V293" s="2"/>
      <c r="W293" s="2"/>
      <c r="X293" s="2"/>
      <c r="Y293" s="2"/>
      <c r="Z293" s="2"/>
    </row>
    <row r="294" spans="1:26" ht="18.75" customHeight="1" x14ac:dyDescent="0.3">
      <c r="A294" s="335" t="s">
        <v>363</v>
      </c>
      <c r="B294" s="84"/>
      <c r="C294" s="113"/>
      <c r="D294" s="113"/>
      <c r="E294" s="113"/>
      <c r="F294" s="113"/>
      <c r="G294" s="113"/>
      <c r="H294" s="113"/>
      <c r="I294" s="113"/>
      <c r="J294" s="2"/>
      <c r="K294" s="2"/>
      <c r="L294" s="2"/>
      <c r="M294" s="2"/>
      <c r="N294" s="2"/>
      <c r="O294" s="2"/>
      <c r="P294" s="2"/>
      <c r="Q294" s="2"/>
      <c r="R294" s="2"/>
      <c r="S294" s="2"/>
      <c r="T294" s="2"/>
      <c r="U294" s="2"/>
      <c r="V294" s="2"/>
      <c r="W294" s="2"/>
      <c r="X294" s="2"/>
      <c r="Y294" s="2"/>
      <c r="Z294" s="2"/>
    </row>
    <row r="295" spans="1:26" ht="18.75" customHeight="1" x14ac:dyDescent="0.3">
      <c r="A295" s="112"/>
      <c r="B295" s="336" t="s">
        <v>361</v>
      </c>
      <c r="C295" s="113"/>
      <c r="D295" s="113"/>
      <c r="E295" s="113"/>
      <c r="F295" s="113"/>
      <c r="G295" s="113"/>
      <c r="H295" s="113"/>
      <c r="I295" s="113"/>
      <c r="J295" s="2"/>
      <c r="K295" s="2"/>
      <c r="L295" s="2"/>
      <c r="M295" s="2"/>
      <c r="N295" s="2"/>
      <c r="O295" s="2"/>
      <c r="P295" s="2"/>
      <c r="Q295" s="2"/>
      <c r="R295" s="2"/>
      <c r="S295" s="2"/>
      <c r="T295" s="2"/>
      <c r="U295" s="2"/>
      <c r="V295" s="2"/>
      <c r="W295" s="2"/>
      <c r="X295" s="2"/>
      <c r="Y295" s="2"/>
      <c r="Z295" s="2"/>
    </row>
    <row r="296" spans="1:26" ht="18.75" customHeight="1" x14ac:dyDescent="0.3">
      <c r="B296" s="78"/>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8.75" customHeight="1" x14ac:dyDescent="0.3">
      <c r="A297" s="2" t="s">
        <v>383</v>
      </c>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18.75" customHeight="1" x14ac:dyDescent="0.3">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18.75" customHeight="1" x14ac:dyDescent="0.3">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18.75" customHeight="1" x14ac:dyDescent="0.3">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18.75" customHeight="1" x14ac:dyDescent="0.3">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18.75" customHeight="1" x14ac:dyDescent="0.3">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18.75" customHeight="1" x14ac:dyDescent="0.3">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18.75" customHeight="1" x14ac:dyDescent="0.3">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18.75" customHeight="1" x14ac:dyDescent="0.3">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18.75" customHeight="1" x14ac:dyDescent="0.3">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ht="18.75" customHeight="1" x14ac:dyDescent="0.3">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ht="18.75" customHeight="1" x14ac:dyDescent="0.3">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ht="18.75" customHeight="1" x14ac:dyDescent="0.3">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ht="18.75" customHeight="1" x14ac:dyDescent="0.3">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ht="18.75" customHeight="1" x14ac:dyDescent="0.3">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ht="18.75" customHeight="1" x14ac:dyDescent="0.3">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ht="18.75" customHeight="1" x14ac:dyDescent="0.3">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18.75" customHeight="1" x14ac:dyDescent="0.3">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ht="18.75" customHeight="1" x14ac:dyDescent="0.3">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ht="18.75" customHeight="1" x14ac:dyDescent="0.3">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ht="18.75" customHeight="1" x14ac:dyDescent="0.3">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ht="18.75" customHeight="1" x14ac:dyDescent="0.3">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ht="18.75" customHeight="1" x14ac:dyDescent="0.3">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ht="18.75" customHeight="1" x14ac:dyDescent="0.3">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ht="18.75" customHeight="1" x14ac:dyDescent="0.3">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ht="18.75" customHeight="1" x14ac:dyDescent="0.3">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ht="18.75" customHeight="1" x14ac:dyDescent="0.3">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ht="18.75" customHeight="1" x14ac:dyDescent="0.3">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ht="18.75" customHeight="1" x14ac:dyDescent="0.3">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ht="18.75" customHeight="1" x14ac:dyDescent="0.3">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ht="18.75" customHeight="1" x14ac:dyDescent="0.3">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ht="18.75" customHeight="1" x14ac:dyDescent="0.3">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ht="18.75" customHeight="1" x14ac:dyDescent="0.3">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ht="18.75" customHeight="1" x14ac:dyDescent="0.3">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ht="18.75" customHeight="1" x14ac:dyDescent="0.3">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ht="18.75" customHeight="1" x14ac:dyDescent="0.3">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ht="18.75" customHeight="1" x14ac:dyDescent="0.3">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ht="18.75" customHeight="1" x14ac:dyDescent="0.3">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ht="18.75" customHeight="1" x14ac:dyDescent="0.3">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ht="18.75" customHeight="1" x14ac:dyDescent="0.3">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ht="18.75" customHeight="1" x14ac:dyDescent="0.3">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ht="18.75" customHeight="1" x14ac:dyDescent="0.3">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ht="18.75" customHeight="1" x14ac:dyDescent="0.3">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ht="18.75" customHeight="1" x14ac:dyDescent="0.3">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ht="18.75" customHeight="1" x14ac:dyDescent="0.3">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ht="18.75" customHeight="1" x14ac:dyDescent="0.3">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ht="18.75" customHeight="1" x14ac:dyDescent="0.3">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ht="18.75" customHeight="1" x14ac:dyDescent="0.3">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ht="18.75" customHeight="1" x14ac:dyDescent="0.3">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ht="18.75" customHeight="1" x14ac:dyDescent="0.3">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ht="18.75" customHeight="1" x14ac:dyDescent="0.3">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ht="18.75" customHeight="1" x14ac:dyDescent="0.3">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ht="18.75" customHeight="1" x14ac:dyDescent="0.3">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ht="18.75" customHeight="1" x14ac:dyDescent="0.3">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ht="18.75" customHeight="1" x14ac:dyDescent="0.3">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ht="18.75" customHeight="1" x14ac:dyDescent="0.3">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ht="18.75" customHeight="1" x14ac:dyDescent="0.3">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ht="18.75" customHeight="1" x14ac:dyDescent="0.3">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ht="18.75" customHeight="1" x14ac:dyDescent="0.3">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ht="18.75" customHeight="1" x14ac:dyDescent="0.3">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ht="18.75" customHeight="1" x14ac:dyDescent="0.3">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ht="18.75" customHeight="1" x14ac:dyDescent="0.3">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ht="18.75" customHeight="1" x14ac:dyDescent="0.3">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ht="18.75" customHeight="1" x14ac:dyDescent="0.3">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ht="18.75" customHeight="1" x14ac:dyDescent="0.3">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ht="18.75" customHeight="1" x14ac:dyDescent="0.3">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ht="18.75" customHeight="1" x14ac:dyDescent="0.3">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ht="18.75" customHeight="1" x14ac:dyDescent="0.3">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ht="18.75" customHeight="1" x14ac:dyDescent="0.3">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ht="18.75" customHeight="1" x14ac:dyDescent="0.3">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ht="18.75" customHeight="1" x14ac:dyDescent="0.3">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ht="18.75" customHeight="1" x14ac:dyDescent="0.3">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ht="18.75" customHeight="1" x14ac:dyDescent="0.3">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ht="18.75" customHeight="1" x14ac:dyDescent="0.3">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ht="18.75" customHeight="1" x14ac:dyDescent="0.3">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ht="18.75" customHeight="1" x14ac:dyDescent="0.3">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ht="18.75" customHeight="1" x14ac:dyDescent="0.3">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ht="18.75" customHeight="1" x14ac:dyDescent="0.3">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ht="18.75" customHeight="1" x14ac:dyDescent="0.3">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ht="18.75" customHeight="1" x14ac:dyDescent="0.3">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ht="18.75" customHeight="1" x14ac:dyDescent="0.3">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ht="18.75" customHeight="1" x14ac:dyDescent="0.3">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ht="18.75" customHeight="1" x14ac:dyDescent="0.3">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ht="18.75" customHeight="1" x14ac:dyDescent="0.3">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ht="18.75" customHeight="1" x14ac:dyDescent="0.3">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ht="18.75" customHeight="1" x14ac:dyDescent="0.3">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ht="18.75" customHeight="1" x14ac:dyDescent="0.3">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ht="18.75" customHeight="1" x14ac:dyDescent="0.3">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ht="18.75" customHeight="1" x14ac:dyDescent="0.3">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ht="18.75" customHeight="1" x14ac:dyDescent="0.3">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ht="18.75" customHeight="1" x14ac:dyDescent="0.3">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ht="18.75" customHeight="1" x14ac:dyDescent="0.3">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ht="18.75" customHeight="1" x14ac:dyDescent="0.3">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ht="18.75" customHeight="1" x14ac:dyDescent="0.3">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ht="18.75" customHeight="1" x14ac:dyDescent="0.3">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ht="18.75" customHeight="1" x14ac:dyDescent="0.3">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ht="18.75" customHeight="1" x14ac:dyDescent="0.3">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ht="18.75" customHeight="1" x14ac:dyDescent="0.3">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ht="18.75" customHeight="1" x14ac:dyDescent="0.3">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ht="18.75" customHeight="1" x14ac:dyDescent="0.3">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ht="18.75" customHeight="1" x14ac:dyDescent="0.3">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ht="18.75" customHeight="1" x14ac:dyDescent="0.3">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ht="18.75" customHeight="1" x14ac:dyDescent="0.3">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ht="18.75" customHeight="1" x14ac:dyDescent="0.3">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ht="18.75" customHeight="1" x14ac:dyDescent="0.3">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ht="18.75" customHeight="1" x14ac:dyDescent="0.3">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ht="18.75" customHeight="1" x14ac:dyDescent="0.3">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ht="18.75" customHeight="1" x14ac:dyDescent="0.3">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ht="18.75" customHeight="1" x14ac:dyDescent="0.3">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ht="18.75" customHeight="1" x14ac:dyDescent="0.3">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ht="18.75" customHeight="1" x14ac:dyDescent="0.3">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ht="18.75" customHeight="1" x14ac:dyDescent="0.3">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ht="18.75" customHeight="1" x14ac:dyDescent="0.3">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ht="18.75" customHeight="1" x14ac:dyDescent="0.3">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ht="18.75" customHeight="1" x14ac:dyDescent="0.3">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ht="18.75" customHeight="1" x14ac:dyDescent="0.3">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ht="18.75" customHeight="1" x14ac:dyDescent="0.3">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ht="18.75" customHeight="1" x14ac:dyDescent="0.3">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ht="18.75" customHeight="1" x14ac:dyDescent="0.3">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ht="18.75" customHeight="1" x14ac:dyDescent="0.3">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ht="18.75" customHeight="1" x14ac:dyDescent="0.3">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ht="18.75" customHeight="1" x14ac:dyDescent="0.3">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ht="18.75" customHeight="1" x14ac:dyDescent="0.3">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ht="18.75" customHeight="1" x14ac:dyDescent="0.3">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ht="18.75" customHeight="1" x14ac:dyDescent="0.3">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ht="18.75" customHeight="1" x14ac:dyDescent="0.3">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ht="18.75" customHeight="1" x14ac:dyDescent="0.3">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ht="18.75" customHeight="1" x14ac:dyDescent="0.3">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ht="18.75" customHeight="1" x14ac:dyDescent="0.3">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ht="18.75" customHeight="1" x14ac:dyDescent="0.3">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ht="18.75" customHeight="1" x14ac:dyDescent="0.3">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ht="18.75" customHeight="1" x14ac:dyDescent="0.3">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ht="18.75" customHeight="1" x14ac:dyDescent="0.3">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ht="18.75" customHeight="1" x14ac:dyDescent="0.3">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ht="18.75" customHeight="1" x14ac:dyDescent="0.3">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ht="18.75" customHeight="1" x14ac:dyDescent="0.3">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ht="18.75" customHeight="1" x14ac:dyDescent="0.3">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ht="18.75" customHeight="1" x14ac:dyDescent="0.3">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ht="18.75" customHeight="1" x14ac:dyDescent="0.3">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ht="18.75" customHeight="1" x14ac:dyDescent="0.3">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ht="18.75" customHeight="1" x14ac:dyDescent="0.3">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ht="18.75" customHeight="1" x14ac:dyDescent="0.3">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ht="18.75" customHeight="1" x14ac:dyDescent="0.3">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ht="18.75" customHeight="1" x14ac:dyDescent="0.3">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ht="18.75" customHeight="1" x14ac:dyDescent="0.3">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ht="18.75" customHeight="1" x14ac:dyDescent="0.3">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ht="18.75" customHeight="1" x14ac:dyDescent="0.3">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ht="18.75" customHeight="1" x14ac:dyDescent="0.3">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ht="18.75" customHeight="1" x14ac:dyDescent="0.3">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ht="18.75" customHeight="1" x14ac:dyDescent="0.3">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ht="18.75" customHeight="1" x14ac:dyDescent="0.3">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ht="18.75" customHeight="1" x14ac:dyDescent="0.3">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ht="18.75" customHeight="1" x14ac:dyDescent="0.3">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ht="18.75" customHeight="1" x14ac:dyDescent="0.3">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ht="18.75" customHeight="1" x14ac:dyDescent="0.3">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ht="18.75" customHeight="1" x14ac:dyDescent="0.3">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ht="18.75" customHeight="1" x14ac:dyDescent="0.3">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ht="18.75" customHeight="1" x14ac:dyDescent="0.3">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ht="18.75" customHeight="1" x14ac:dyDescent="0.3">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ht="18.75" customHeight="1" x14ac:dyDescent="0.3">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ht="18.75" customHeight="1" x14ac:dyDescent="0.3">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ht="18.75" customHeight="1" x14ac:dyDescent="0.3">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ht="18.75" customHeight="1" x14ac:dyDescent="0.3">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ht="18.75" customHeight="1" x14ac:dyDescent="0.3">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ht="18.75" customHeight="1" x14ac:dyDescent="0.3">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ht="18.75" customHeight="1" x14ac:dyDescent="0.3">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ht="18.75" customHeight="1" x14ac:dyDescent="0.3">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ht="18.75" customHeight="1" x14ac:dyDescent="0.3">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ht="18.75" customHeight="1" x14ac:dyDescent="0.3">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ht="18.75" customHeight="1" x14ac:dyDescent="0.3">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ht="18.75" customHeight="1" x14ac:dyDescent="0.3">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ht="18.75" customHeight="1" x14ac:dyDescent="0.3">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ht="18.75" customHeight="1" x14ac:dyDescent="0.3">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ht="18.75" customHeight="1" x14ac:dyDescent="0.3">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ht="18.75" customHeight="1" x14ac:dyDescent="0.3">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ht="18.75" customHeight="1" x14ac:dyDescent="0.3">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ht="18.75" customHeight="1" x14ac:dyDescent="0.3">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ht="18.75" customHeight="1" x14ac:dyDescent="0.3">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ht="18.75" customHeight="1" x14ac:dyDescent="0.3">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ht="18.75" customHeight="1" x14ac:dyDescent="0.3">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ht="18.75" customHeight="1" x14ac:dyDescent="0.3">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ht="18.75" customHeight="1" x14ac:dyDescent="0.3">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ht="18.75" customHeight="1" x14ac:dyDescent="0.3">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ht="18.75" customHeight="1" x14ac:dyDescent="0.3">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ht="18.75" customHeight="1" x14ac:dyDescent="0.3">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ht="18.75" customHeight="1" x14ac:dyDescent="0.3">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ht="18.75" customHeight="1" x14ac:dyDescent="0.3">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ht="18.75" customHeight="1" x14ac:dyDescent="0.3">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ht="18.75" customHeight="1" x14ac:dyDescent="0.3">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ht="18.75" customHeight="1" x14ac:dyDescent="0.3">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ht="18.75" customHeight="1" x14ac:dyDescent="0.3">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ht="18.75" customHeight="1" x14ac:dyDescent="0.3">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ht="18.75" customHeight="1" x14ac:dyDescent="0.3">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ht="18.75" customHeight="1" x14ac:dyDescent="0.3">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ht="18.75" customHeight="1" x14ac:dyDescent="0.3">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ht="18.75" customHeight="1" x14ac:dyDescent="0.3">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ht="18.75" customHeight="1" x14ac:dyDescent="0.3">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ht="18.75" customHeight="1" x14ac:dyDescent="0.3">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ht="18.75" customHeight="1" x14ac:dyDescent="0.3">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ht="18.75" customHeight="1" x14ac:dyDescent="0.3">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ht="18.75" customHeight="1" x14ac:dyDescent="0.3">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ht="18.75" customHeight="1" x14ac:dyDescent="0.3">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ht="18.75" customHeight="1" x14ac:dyDescent="0.3">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ht="18.75" customHeight="1" x14ac:dyDescent="0.3">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ht="18.75" customHeight="1" x14ac:dyDescent="0.3">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ht="18.75" customHeight="1" x14ac:dyDescent="0.3">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ht="18.75" customHeight="1" x14ac:dyDescent="0.3">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ht="18.75" customHeight="1" x14ac:dyDescent="0.3">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ht="18.75" customHeight="1" x14ac:dyDescent="0.3">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ht="18.75" customHeight="1" x14ac:dyDescent="0.3">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ht="18.75" customHeight="1" x14ac:dyDescent="0.3">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ht="18.75" customHeight="1" x14ac:dyDescent="0.3">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ht="18.75" customHeight="1" x14ac:dyDescent="0.3">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ht="18.75" customHeight="1" x14ac:dyDescent="0.3">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ht="18.75" customHeight="1" x14ac:dyDescent="0.3">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ht="18.75" customHeight="1" x14ac:dyDescent="0.3">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ht="18.75" customHeight="1" x14ac:dyDescent="0.3">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ht="18.75" customHeight="1" x14ac:dyDescent="0.3">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ht="18.75" customHeight="1" x14ac:dyDescent="0.3">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ht="18.75" customHeight="1" x14ac:dyDescent="0.3">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ht="18.75" customHeight="1" x14ac:dyDescent="0.3">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ht="18.75" customHeight="1" x14ac:dyDescent="0.3">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ht="18.75" customHeight="1" x14ac:dyDescent="0.3">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ht="18.75" customHeight="1" x14ac:dyDescent="0.3">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ht="18.75" customHeight="1" x14ac:dyDescent="0.3">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ht="18.75" customHeight="1" x14ac:dyDescent="0.3">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ht="18.75" customHeight="1" x14ac:dyDescent="0.3">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ht="18.75" customHeight="1" x14ac:dyDescent="0.3">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ht="18.75" customHeight="1" x14ac:dyDescent="0.3">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ht="18.75" customHeight="1" x14ac:dyDescent="0.3">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ht="18.75" customHeight="1" x14ac:dyDescent="0.3">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ht="18.75" customHeight="1" x14ac:dyDescent="0.3">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ht="18.75" customHeight="1" x14ac:dyDescent="0.3">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ht="18.75" customHeight="1" x14ac:dyDescent="0.3">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ht="18.75" customHeight="1" x14ac:dyDescent="0.3">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ht="18.75" customHeight="1" x14ac:dyDescent="0.3">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ht="18.75" customHeight="1" x14ac:dyDescent="0.3">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ht="18.75" customHeight="1" x14ac:dyDescent="0.3">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ht="18.75" customHeight="1" x14ac:dyDescent="0.3">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ht="18.75" customHeight="1" x14ac:dyDescent="0.3">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ht="18.75" customHeight="1" x14ac:dyDescent="0.3">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ht="18.75" customHeight="1" x14ac:dyDescent="0.3">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ht="18.75" customHeight="1" x14ac:dyDescent="0.3">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ht="18.75" customHeight="1" x14ac:dyDescent="0.3">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ht="18.75" customHeight="1" x14ac:dyDescent="0.3">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ht="18.75" customHeight="1" x14ac:dyDescent="0.3">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ht="18.75" customHeight="1" x14ac:dyDescent="0.3">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ht="18.75" customHeight="1" x14ac:dyDescent="0.3">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ht="18.75" customHeight="1" x14ac:dyDescent="0.3">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ht="18.75" customHeight="1" x14ac:dyDescent="0.3">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ht="18.75" customHeight="1" x14ac:dyDescent="0.3">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ht="18.75" customHeight="1" x14ac:dyDescent="0.3">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ht="18.75" customHeight="1" x14ac:dyDescent="0.3">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ht="18.75" customHeight="1" x14ac:dyDescent="0.3">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ht="18.75" customHeight="1" x14ac:dyDescent="0.3">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ht="18.75" customHeight="1" x14ac:dyDescent="0.3">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ht="18.75" customHeight="1" x14ac:dyDescent="0.3">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ht="18.75" customHeight="1" x14ac:dyDescent="0.3">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ht="18.75" customHeight="1" x14ac:dyDescent="0.3">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ht="18.75" customHeight="1" x14ac:dyDescent="0.3">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ht="18.75" customHeight="1" x14ac:dyDescent="0.3">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ht="18.75" customHeight="1" x14ac:dyDescent="0.3">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ht="18.75" customHeight="1" x14ac:dyDescent="0.3">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ht="18.75" customHeight="1" x14ac:dyDescent="0.3">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ht="18.75" customHeight="1" x14ac:dyDescent="0.3">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ht="18.75" customHeight="1" x14ac:dyDescent="0.3">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ht="18.75" customHeight="1" x14ac:dyDescent="0.3">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ht="18.75" customHeight="1" x14ac:dyDescent="0.3">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ht="18.75" customHeight="1" x14ac:dyDescent="0.3">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ht="18.75" customHeight="1" x14ac:dyDescent="0.3">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ht="18.75" customHeight="1" x14ac:dyDescent="0.3">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ht="18.75" customHeight="1" x14ac:dyDescent="0.3">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ht="18.75" customHeight="1" x14ac:dyDescent="0.3">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ht="18.75" customHeight="1" x14ac:dyDescent="0.3">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ht="18.75" customHeight="1" x14ac:dyDescent="0.3">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ht="18.75" customHeight="1" x14ac:dyDescent="0.3">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ht="18.75" customHeight="1" x14ac:dyDescent="0.3">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ht="18.75" customHeight="1" x14ac:dyDescent="0.3">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ht="18.75" customHeight="1" x14ac:dyDescent="0.3">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ht="18.75" customHeight="1" x14ac:dyDescent="0.3">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ht="18.75" customHeight="1" x14ac:dyDescent="0.3">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ht="18.75" customHeight="1" x14ac:dyDescent="0.3">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ht="18.75" customHeight="1" x14ac:dyDescent="0.3">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ht="18.75" customHeight="1" x14ac:dyDescent="0.3">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ht="18.75" customHeight="1" x14ac:dyDescent="0.3">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ht="18.75" customHeight="1" x14ac:dyDescent="0.3">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ht="18.75" customHeight="1" x14ac:dyDescent="0.3">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ht="18.75" customHeight="1" x14ac:dyDescent="0.3">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ht="18.75" customHeight="1" x14ac:dyDescent="0.3">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ht="18.75" customHeight="1" x14ac:dyDescent="0.3">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ht="18.75" customHeight="1" x14ac:dyDescent="0.3">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ht="18.75" customHeight="1" x14ac:dyDescent="0.3">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ht="18.75" customHeight="1" x14ac:dyDescent="0.3">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ht="18.75" customHeight="1" x14ac:dyDescent="0.3">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ht="18.75" customHeight="1" x14ac:dyDescent="0.3">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ht="18.75" customHeight="1" x14ac:dyDescent="0.3">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ht="18.75" customHeight="1" x14ac:dyDescent="0.3">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ht="18.75" customHeight="1" x14ac:dyDescent="0.3">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ht="18.75" customHeight="1" x14ac:dyDescent="0.3">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ht="18.75" customHeight="1" x14ac:dyDescent="0.3">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ht="18.75" customHeight="1" x14ac:dyDescent="0.3">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ht="18.75" customHeight="1" x14ac:dyDescent="0.3">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ht="18.75" customHeight="1" x14ac:dyDescent="0.3">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ht="18.75" customHeight="1" x14ac:dyDescent="0.3">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ht="18.75" customHeight="1" x14ac:dyDescent="0.3">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ht="18.75" customHeight="1" x14ac:dyDescent="0.3">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ht="18.75" customHeight="1" x14ac:dyDescent="0.3">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ht="18.75" customHeight="1" x14ac:dyDescent="0.3">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ht="18.75" customHeight="1" x14ac:dyDescent="0.3">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ht="18.75" customHeight="1" x14ac:dyDescent="0.3">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ht="18.75" customHeight="1" x14ac:dyDescent="0.3">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ht="18.75" customHeight="1" x14ac:dyDescent="0.3">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ht="18.75" customHeight="1" x14ac:dyDescent="0.3">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ht="18.75" customHeight="1" x14ac:dyDescent="0.3">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ht="18.75" customHeight="1" x14ac:dyDescent="0.3">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ht="18.75" customHeight="1" x14ac:dyDescent="0.3">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ht="18.75" customHeight="1" x14ac:dyDescent="0.3">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ht="18.75" customHeight="1" x14ac:dyDescent="0.3">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ht="18.75" customHeight="1" x14ac:dyDescent="0.3">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ht="18.75" customHeight="1" x14ac:dyDescent="0.3">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ht="18.75" customHeight="1" x14ac:dyDescent="0.3">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ht="18.75" customHeight="1" x14ac:dyDescent="0.3">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ht="18.75" customHeight="1" x14ac:dyDescent="0.3">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ht="18.75" customHeight="1" x14ac:dyDescent="0.3">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ht="18.75" customHeight="1" x14ac:dyDescent="0.3">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ht="18.75" customHeight="1" x14ac:dyDescent="0.3">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ht="18.75" customHeight="1" x14ac:dyDescent="0.3">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ht="18.75" customHeight="1" x14ac:dyDescent="0.3">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ht="18.75" customHeight="1" x14ac:dyDescent="0.3">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ht="18.75" customHeight="1" x14ac:dyDescent="0.3">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ht="18.75" customHeight="1" x14ac:dyDescent="0.3">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ht="18.75" customHeight="1" x14ac:dyDescent="0.3">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ht="18.75" customHeight="1" x14ac:dyDescent="0.3">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ht="18.75" customHeight="1" x14ac:dyDescent="0.3">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ht="18.75" customHeight="1" x14ac:dyDescent="0.3">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ht="18.75" customHeight="1" x14ac:dyDescent="0.3">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ht="18.75" customHeight="1" x14ac:dyDescent="0.3">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ht="18.75" customHeight="1" x14ac:dyDescent="0.3">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ht="18.75" customHeight="1" x14ac:dyDescent="0.3">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ht="18.75" customHeight="1" x14ac:dyDescent="0.3">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ht="18.75" customHeight="1" x14ac:dyDescent="0.3">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ht="18.75" customHeight="1" x14ac:dyDescent="0.3">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ht="18.75" customHeight="1" x14ac:dyDescent="0.3">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ht="18.75" customHeight="1" x14ac:dyDescent="0.3">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ht="18.75" customHeight="1" x14ac:dyDescent="0.3">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ht="18.75" customHeight="1" x14ac:dyDescent="0.3">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ht="18.75" customHeight="1" x14ac:dyDescent="0.3">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ht="18.75" customHeight="1" x14ac:dyDescent="0.3">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ht="18.75" customHeight="1" x14ac:dyDescent="0.3">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ht="18.75" customHeight="1" x14ac:dyDescent="0.3">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ht="18.75" customHeight="1" x14ac:dyDescent="0.3">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ht="18.75" customHeight="1" x14ac:dyDescent="0.3">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ht="18.75" customHeight="1" x14ac:dyDescent="0.3">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ht="18.75" customHeight="1" x14ac:dyDescent="0.3">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ht="18.75" customHeight="1" x14ac:dyDescent="0.3">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ht="18.75" customHeight="1" x14ac:dyDescent="0.3">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ht="18.75" customHeight="1" x14ac:dyDescent="0.3">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ht="18.75" customHeight="1" x14ac:dyDescent="0.3">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ht="18.75" customHeight="1" x14ac:dyDescent="0.3">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ht="18.75" customHeight="1" x14ac:dyDescent="0.3">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ht="18.75" customHeight="1" x14ac:dyDescent="0.3">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ht="18.75" customHeight="1" x14ac:dyDescent="0.3">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ht="18.75" customHeight="1" x14ac:dyDescent="0.3">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ht="18.75" customHeight="1" x14ac:dyDescent="0.3">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ht="18.75" customHeight="1" x14ac:dyDescent="0.3">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ht="18.75" customHeight="1" x14ac:dyDescent="0.3">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ht="18.75" customHeight="1" x14ac:dyDescent="0.3">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ht="18.75" customHeight="1" x14ac:dyDescent="0.3">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ht="18.75" customHeight="1" x14ac:dyDescent="0.3">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ht="18.75" customHeight="1" x14ac:dyDescent="0.3">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ht="18.75" customHeight="1" x14ac:dyDescent="0.3">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ht="18.75" customHeight="1" x14ac:dyDescent="0.3">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ht="18.75" customHeight="1" x14ac:dyDescent="0.3">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ht="18.75" customHeight="1" x14ac:dyDescent="0.3">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ht="18.75" customHeight="1" x14ac:dyDescent="0.3">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ht="18.75" customHeight="1" x14ac:dyDescent="0.3">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ht="18.75" customHeight="1" x14ac:dyDescent="0.3">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ht="18.75" customHeight="1" x14ac:dyDescent="0.3">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ht="18.75" customHeight="1" x14ac:dyDescent="0.3">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ht="18.75" customHeight="1" x14ac:dyDescent="0.3">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ht="18.75" customHeight="1" x14ac:dyDescent="0.3">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ht="18.75" customHeight="1" x14ac:dyDescent="0.3">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ht="18.75" customHeight="1" x14ac:dyDescent="0.3">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ht="18.75" customHeight="1" x14ac:dyDescent="0.3">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ht="18.75" customHeight="1" x14ac:dyDescent="0.3">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ht="18.75" customHeight="1" x14ac:dyDescent="0.3">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ht="18.75" customHeight="1" x14ac:dyDescent="0.3">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ht="18.75" customHeight="1" x14ac:dyDescent="0.3">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ht="18.75" customHeight="1" x14ac:dyDescent="0.3">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ht="18.75" customHeight="1" x14ac:dyDescent="0.3">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ht="18.75" customHeight="1" x14ac:dyDescent="0.3">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ht="18.75" customHeight="1" x14ac:dyDescent="0.3">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ht="18.75" customHeight="1" x14ac:dyDescent="0.3">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ht="18.75" customHeight="1" x14ac:dyDescent="0.3">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ht="18.75" customHeight="1" x14ac:dyDescent="0.3">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ht="18.75" customHeight="1" x14ac:dyDescent="0.3">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ht="18.75" customHeight="1" x14ac:dyDescent="0.3">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ht="18.75" customHeight="1" x14ac:dyDescent="0.3">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ht="18.75" customHeight="1" x14ac:dyDescent="0.3">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ht="18.75" customHeight="1" x14ac:dyDescent="0.3">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ht="18.75" customHeight="1" x14ac:dyDescent="0.3">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ht="18.75" customHeight="1" x14ac:dyDescent="0.3">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ht="18.75" customHeight="1" x14ac:dyDescent="0.3">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ht="18.75" customHeight="1" x14ac:dyDescent="0.3">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ht="18.75" customHeight="1" x14ac:dyDescent="0.3">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ht="18.75" customHeight="1" x14ac:dyDescent="0.3">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ht="18.75" customHeight="1" x14ac:dyDescent="0.3">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ht="18.75" customHeight="1" x14ac:dyDescent="0.3">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ht="18.75" customHeight="1" x14ac:dyDescent="0.3">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ht="18.75" customHeight="1" x14ac:dyDescent="0.3">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ht="18.75" customHeight="1" x14ac:dyDescent="0.3">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ht="18.75" customHeight="1" x14ac:dyDescent="0.3">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ht="18.75" customHeight="1" x14ac:dyDescent="0.3">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ht="18.75" customHeight="1" x14ac:dyDescent="0.3">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ht="18.75" customHeight="1" x14ac:dyDescent="0.3">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ht="18.75" customHeight="1" x14ac:dyDescent="0.3">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ht="18.75" customHeight="1" x14ac:dyDescent="0.3">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ht="18.75" customHeight="1" x14ac:dyDescent="0.3">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ht="18.75" customHeight="1" x14ac:dyDescent="0.3">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ht="18.75" customHeight="1" x14ac:dyDescent="0.3">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ht="18.75" customHeight="1" x14ac:dyDescent="0.3">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ht="18.75" customHeight="1" x14ac:dyDescent="0.3">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ht="18.75" customHeight="1" x14ac:dyDescent="0.3">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ht="18.75" customHeight="1" x14ac:dyDescent="0.3">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ht="18.75" customHeight="1" x14ac:dyDescent="0.3">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ht="18.75" customHeight="1" x14ac:dyDescent="0.3">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ht="18.75" customHeight="1" x14ac:dyDescent="0.3">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ht="18.75" customHeight="1" x14ac:dyDescent="0.3">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ht="18.75" customHeight="1" x14ac:dyDescent="0.3">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ht="18.75" customHeight="1" x14ac:dyDescent="0.3">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ht="18.75" customHeight="1" x14ac:dyDescent="0.3">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ht="18.75" customHeight="1" x14ac:dyDescent="0.3">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ht="18.75" customHeight="1" x14ac:dyDescent="0.3">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ht="18.75" customHeight="1" x14ac:dyDescent="0.3">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ht="18.75" customHeight="1" x14ac:dyDescent="0.3">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ht="18.75" customHeight="1" x14ac:dyDescent="0.3">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ht="18.75" customHeight="1" x14ac:dyDescent="0.3">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ht="18.75" customHeight="1" x14ac:dyDescent="0.3">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ht="18.75" customHeight="1" x14ac:dyDescent="0.3">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ht="18.75" customHeight="1" x14ac:dyDescent="0.3">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ht="18.75" customHeight="1" x14ac:dyDescent="0.3">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ht="18.75" customHeight="1" x14ac:dyDescent="0.3">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ht="18.75" customHeight="1" x14ac:dyDescent="0.3">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ht="18.75" customHeight="1" x14ac:dyDescent="0.3">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ht="18.75" customHeight="1" x14ac:dyDescent="0.3">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ht="18.75" customHeight="1" x14ac:dyDescent="0.3">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ht="18.75" customHeight="1" x14ac:dyDescent="0.3">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ht="18.75" customHeight="1" x14ac:dyDescent="0.3">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ht="18.75" customHeight="1" x14ac:dyDescent="0.3">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ht="18.75" customHeight="1" x14ac:dyDescent="0.3">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ht="18.75" customHeight="1" x14ac:dyDescent="0.3">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ht="18.75" customHeight="1" x14ac:dyDescent="0.3">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ht="18.75" customHeight="1" x14ac:dyDescent="0.3">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ht="18.75" customHeight="1" x14ac:dyDescent="0.3">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ht="18.75" customHeight="1" x14ac:dyDescent="0.3">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ht="18.75" customHeight="1" x14ac:dyDescent="0.3">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ht="18.75" customHeight="1" x14ac:dyDescent="0.3">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ht="18.75" customHeight="1" x14ac:dyDescent="0.3">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ht="18.75" customHeight="1" x14ac:dyDescent="0.3">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ht="18.75" customHeight="1" x14ac:dyDescent="0.3">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ht="18.75" customHeight="1" x14ac:dyDescent="0.3">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ht="18.75" customHeight="1" x14ac:dyDescent="0.3">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ht="18.75" customHeight="1" x14ac:dyDescent="0.3">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ht="18.75" customHeight="1" x14ac:dyDescent="0.3">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ht="18.75" customHeight="1" x14ac:dyDescent="0.3">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ht="18.75" customHeight="1" x14ac:dyDescent="0.3">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ht="18.75" customHeight="1" x14ac:dyDescent="0.3">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ht="18.75" customHeight="1" x14ac:dyDescent="0.3">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ht="18.75" customHeight="1" x14ac:dyDescent="0.3">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ht="18.75" customHeight="1" x14ac:dyDescent="0.3">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ht="18.75" customHeight="1" x14ac:dyDescent="0.3">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ht="18.75" customHeight="1" x14ac:dyDescent="0.3">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ht="18.75" customHeight="1" x14ac:dyDescent="0.3">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ht="18.75" customHeight="1" x14ac:dyDescent="0.3">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ht="18.75" customHeight="1" x14ac:dyDescent="0.3">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ht="18.75" customHeight="1" x14ac:dyDescent="0.3">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ht="18.75" customHeight="1" x14ac:dyDescent="0.3">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ht="18.75" customHeight="1" x14ac:dyDescent="0.3">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ht="18.75" customHeight="1" x14ac:dyDescent="0.3">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ht="18.75" customHeight="1" x14ac:dyDescent="0.3">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ht="18.75" customHeight="1" x14ac:dyDescent="0.3">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ht="18.75" customHeight="1" x14ac:dyDescent="0.3">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ht="18.75" customHeight="1" x14ac:dyDescent="0.3">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ht="18.75" customHeight="1" x14ac:dyDescent="0.3">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ht="18.75" customHeight="1" x14ac:dyDescent="0.3">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ht="18.75" customHeight="1" x14ac:dyDescent="0.3">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ht="18.75" customHeight="1" x14ac:dyDescent="0.3">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ht="18.75" customHeight="1" x14ac:dyDescent="0.3">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ht="18.75" customHeight="1" x14ac:dyDescent="0.3">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ht="18.75" customHeight="1" x14ac:dyDescent="0.3">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ht="18.75" customHeight="1" x14ac:dyDescent="0.3">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ht="18.75" customHeight="1" x14ac:dyDescent="0.3">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ht="18.75" customHeight="1" x14ac:dyDescent="0.3">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ht="18.75" customHeight="1" x14ac:dyDescent="0.3">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ht="18.75" customHeight="1" x14ac:dyDescent="0.3">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ht="18.75" customHeight="1" x14ac:dyDescent="0.3">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ht="18.75" customHeight="1" x14ac:dyDescent="0.3">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ht="18.75" customHeight="1" x14ac:dyDescent="0.3">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ht="18.75" customHeight="1" x14ac:dyDescent="0.3">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ht="18.75" customHeight="1" x14ac:dyDescent="0.3">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ht="18.75" customHeight="1" x14ac:dyDescent="0.3">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ht="18.75" customHeight="1" x14ac:dyDescent="0.3">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ht="18.75" customHeight="1" x14ac:dyDescent="0.3">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ht="18.75" customHeight="1" x14ac:dyDescent="0.3">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ht="18.75" customHeight="1" x14ac:dyDescent="0.3">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ht="18.75" customHeight="1" x14ac:dyDescent="0.3">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ht="18.75" customHeight="1" x14ac:dyDescent="0.3">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ht="18.75" customHeight="1" x14ac:dyDescent="0.3">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ht="18.75" customHeight="1" x14ac:dyDescent="0.3">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ht="18.75" customHeight="1" x14ac:dyDescent="0.3">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ht="18.75" customHeight="1" x14ac:dyDescent="0.3">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ht="18.75" customHeight="1" x14ac:dyDescent="0.3">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ht="18.75" customHeight="1" x14ac:dyDescent="0.3">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ht="18.75" customHeight="1" x14ac:dyDescent="0.3">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ht="18.75" customHeight="1" x14ac:dyDescent="0.3">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ht="18.75" customHeight="1" x14ac:dyDescent="0.3">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ht="18.75" customHeight="1" x14ac:dyDescent="0.3">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ht="18.75" customHeight="1" x14ac:dyDescent="0.3">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ht="18.75" customHeight="1" x14ac:dyDescent="0.3">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ht="18.75" customHeight="1" x14ac:dyDescent="0.3">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ht="18.75" customHeight="1" x14ac:dyDescent="0.3">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ht="18.75" customHeight="1" x14ac:dyDescent="0.3">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ht="18.75" customHeight="1" x14ac:dyDescent="0.3">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ht="18.75" customHeight="1" x14ac:dyDescent="0.3">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ht="18.75" customHeight="1" x14ac:dyDescent="0.3">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ht="18.75" customHeight="1" x14ac:dyDescent="0.3">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ht="18.75" customHeight="1" x14ac:dyDescent="0.3">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ht="18.75" customHeight="1" x14ac:dyDescent="0.3">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ht="18.75" customHeight="1" x14ac:dyDescent="0.3">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ht="18.75" customHeight="1" x14ac:dyDescent="0.3">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ht="18.75" customHeight="1" x14ac:dyDescent="0.3">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ht="18.75" customHeight="1" x14ac:dyDescent="0.3">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ht="18.75" customHeight="1" x14ac:dyDescent="0.3">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ht="18.75" customHeight="1" x14ac:dyDescent="0.3">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ht="18.75" customHeight="1" x14ac:dyDescent="0.3">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ht="18.75" customHeight="1" x14ac:dyDescent="0.3">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ht="18.75" customHeight="1" x14ac:dyDescent="0.3">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ht="18.75" customHeight="1" x14ac:dyDescent="0.3">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ht="18.75" customHeight="1" x14ac:dyDescent="0.3">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ht="18.75" customHeight="1" x14ac:dyDescent="0.3">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ht="18.75" customHeight="1" x14ac:dyDescent="0.3">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ht="18.75" customHeight="1" x14ac:dyDescent="0.3">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ht="18.75" customHeight="1" x14ac:dyDescent="0.3">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ht="18.75" customHeight="1" x14ac:dyDescent="0.3">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ht="18.75" customHeight="1" x14ac:dyDescent="0.3">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ht="18.75" customHeight="1" x14ac:dyDescent="0.3">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ht="18.75" customHeight="1" x14ac:dyDescent="0.3">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ht="18.75" customHeight="1" x14ac:dyDescent="0.3">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ht="18.75" customHeight="1" x14ac:dyDescent="0.3">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ht="18.75" customHeight="1" x14ac:dyDescent="0.3">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ht="18.75" customHeight="1" x14ac:dyDescent="0.3">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ht="18.75" customHeight="1" x14ac:dyDescent="0.3">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ht="18.75" customHeight="1" x14ac:dyDescent="0.3">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ht="18.75" customHeight="1" x14ac:dyDescent="0.3">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ht="18.75" customHeight="1" x14ac:dyDescent="0.3">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ht="18.75" customHeight="1" x14ac:dyDescent="0.3">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ht="18.75" customHeight="1" x14ac:dyDescent="0.3">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ht="18.75" customHeight="1" x14ac:dyDescent="0.3">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ht="18.75" customHeight="1" x14ac:dyDescent="0.3">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ht="18.75" customHeight="1" x14ac:dyDescent="0.3">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ht="18.75" customHeight="1" x14ac:dyDescent="0.3">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ht="18.75" customHeight="1" x14ac:dyDescent="0.3">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ht="18.75" customHeight="1" x14ac:dyDescent="0.3">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ht="18.75" customHeight="1" x14ac:dyDescent="0.3">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ht="18.75" customHeight="1" x14ac:dyDescent="0.3">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ht="18.75" customHeight="1" x14ac:dyDescent="0.3">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ht="18.75" customHeight="1" x14ac:dyDescent="0.3">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ht="18.75" customHeight="1" x14ac:dyDescent="0.3">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ht="18.75" customHeight="1" x14ac:dyDescent="0.3">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ht="18.75" customHeight="1" x14ac:dyDescent="0.3">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ht="18.75" customHeight="1" x14ac:dyDescent="0.3">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ht="18.75" customHeight="1" x14ac:dyDescent="0.3">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ht="18.75" customHeight="1" x14ac:dyDescent="0.3">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ht="18.75" customHeight="1" x14ac:dyDescent="0.3">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ht="18.75" customHeight="1" x14ac:dyDescent="0.3">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ht="18.75" customHeight="1" x14ac:dyDescent="0.3">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ht="18.75" customHeight="1" x14ac:dyDescent="0.3">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ht="18.75" customHeight="1" x14ac:dyDescent="0.3">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ht="18.75" customHeight="1" x14ac:dyDescent="0.3">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ht="18.75" customHeight="1" x14ac:dyDescent="0.3">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ht="18.75" customHeight="1" x14ac:dyDescent="0.3">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ht="18.75" customHeight="1" x14ac:dyDescent="0.3">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ht="18.75" customHeight="1" x14ac:dyDescent="0.3">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ht="18.75" customHeight="1" x14ac:dyDescent="0.3">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ht="18.75" customHeight="1" x14ac:dyDescent="0.3">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ht="18.75" customHeight="1" x14ac:dyDescent="0.3">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ht="18.75" customHeight="1" x14ac:dyDescent="0.3">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ht="18.75" customHeight="1" x14ac:dyDescent="0.3">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ht="18.75" customHeight="1" x14ac:dyDescent="0.3">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ht="18.75" customHeight="1" x14ac:dyDescent="0.3">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ht="18.75" customHeight="1" x14ac:dyDescent="0.3">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ht="18.75" customHeight="1" x14ac:dyDescent="0.3">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ht="18.75" customHeight="1" x14ac:dyDescent="0.3">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ht="18.75" customHeight="1" x14ac:dyDescent="0.3">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ht="18.75" customHeight="1" x14ac:dyDescent="0.3">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ht="18.75" customHeight="1" x14ac:dyDescent="0.3">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ht="18.75" customHeight="1" x14ac:dyDescent="0.3">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ht="18.75" customHeight="1" x14ac:dyDescent="0.3">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ht="18.75" customHeight="1" x14ac:dyDescent="0.3">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ht="18.75" customHeight="1" x14ac:dyDescent="0.3">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ht="18.75" customHeight="1" x14ac:dyDescent="0.3">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ht="18.75" customHeight="1" x14ac:dyDescent="0.3">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ht="18.75" customHeight="1" x14ac:dyDescent="0.3">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ht="18.75" customHeight="1" x14ac:dyDescent="0.3">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ht="18.75" customHeight="1" x14ac:dyDescent="0.3">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ht="18.75" customHeight="1" x14ac:dyDescent="0.3">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ht="18.75" customHeight="1" x14ac:dyDescent="0.3">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ht="18.75" customHeight="1" x14ac:dyDescent="0.3">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ht="18.75" customHeight="1" x14ac:dyDescent="0.3">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ht="18.75" customHeight="1" x14ac:dyDescent="0.3">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ht="18.75" customHeight="1" x14ac:dyDescent="0.3">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ht="18.75" customHeight="1" x14ac:dyDescent="0.3">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ht="18.75" customHeight="1" x14ac:dyDescent="0.3">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ht="18.75" customHeight="1" x14ac:dyDescent="0.3">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ht="18.75" customHeight="1" x14ac:dyDescent="0.3">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ht="18.75" customHeight="1" x14ac:dyDescent="0.3">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ht="18.75" customHeight="1" x14ac:dyDescent="0.3">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ht="18.75" customHeight="1" x14ac:dyDescent="0.3">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ht="18.75" customHeight="1" x14ac:dyDescent="0.3">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ht="18.75" customHeight="1" x14ac:dyDescent="0.3">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ht="18.75" customHeight="1" x14ac:dyDescent="0.3">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ht="18.75" customHeight="1" x14ac:dyDescent="0.3">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ht="18.75" customHeight="1" x14ac:dyDescent="0.3">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ht="18.75" customHeight="1" x14ac:dyDescent="0.3">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ht="18.75" customHeight="1" x14ac:dyDescent="0.3">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ht="18.75" customHeight="1" x14ac:dyDescent="0.3">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ht="18.75" customHeight="1" x14ac:dyDescent="0.3">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ht="18.75" customHeight="1" x14ac:dyDescent="0.3">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ht="18.75" customHeight="1" x14ac:dyDescent="0.3">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ht="18.75" customHeight="1" x14ac:dyDescent="0.3">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ht="18.75" customHeight="1" x14ac:dyDescent="0.3">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ht="18.75" customHeight="1" x14ac:dyDescent="0.3">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ht="18.75" customHeight="1" x14ac:dyDescent="0.3">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ht="18.75" customHeight="1" x14ac:dyDescent="0.3">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ht="18.75" customHeight="1" x14ac:dyDescent="0.3">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ht="18.75" customHeight="1" x14ac:dyDescent="0.3">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1:26" ht="18.75" customHeight="1" x14ac:dyDescent="0.3">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1:26" ht="18.75" customHeight="1" x14ac:dyDescent="0.3">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1:26" ht="18.75" customHeight="1" x14ac:dyDescent="0.3">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1:26" ht="18.75" customHeight="1" x14ac:dyDescent="0.3">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1:26" ht="18.75" customHeight="1" x14ac:dyDescent="0.3">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1:26" ht="18.75" customHeight="1" x14ac:dyDescent="0.3">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1:26" ht="18.75" customHeight="1" x14ac:dyDescent="0.3">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1:26" ht="18.75" customHeight="1" x14ac:dyDescent="0.3">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1:26" ht="18.75" customHeight="1" x14ac:dyDescent="0.3">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1:26" ht="18.75" customHeight="1" x14ac:dyDescent="0.3">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1:26" ht="18.75" customHeight="1" x14ac:dyDescent="0.3">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1:26" ht="18.75" customHeight="1" x14ac:dyDescent="0.3">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1:26" ht="18.75" customHeight="1" x14ac:dyDescent="0.3">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1:26" ht="18.75" customHeight="1" x14ac:dyDescent="0.3">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1:26" ht="18.75" customHeight="1" x14ac:dyDescent="0.3">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1:26" ht="18.75" customHeight="1" x14ac:dyDescent="0.3">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1:26" ht="18.75" customHeight="1" x14ac:dyDescent="0.3">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1:26" ht="18.75" customHeight="1" x14ac:dyDescent="0.3">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1:26" ht="18.75" customHeight="1" x14ac:dyDescent="0.3">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spans="1:26" ht="18.75" customHeight="1" x14ac:dyDescent="0.3">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spans="1:26" ht="18.75" customHeight="1" x14ac:dyDescent="0.3">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spans="1:26" ht="18.75" customHeight="1" x14ac:dyDescent="0.3">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spans="1:26" ht="18.75" customHeight="1" x14ac:dyDescent="0.3">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spans="1:26" ht="18.75" customHeight="1" x14ac:dyDescent="0.3">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spans="1:26" ht="18.75" customHeight="1" x14ac:dyDescent="0.3">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spans="1:26" ht="18.75" customHeight="1" x14ac:dyDescent="0.3">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spans="1:26" ht="18.75" customHeight="1" x14ac:dyDescent="0.3">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spans="1:26" ht="18.75" customHeight="1" x14ac:dyDescent="0.3">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spans="1:26" ht="18.75" customHeight="1" x14ac:dyDescent="0.3">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spans="1:26" ht="18.75" customHeight="1" x14ac:dyDescent="0.3">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spans="1:26" ht="18.75" customHeight="1" x14ac:dyDescent="0.3">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spans="1:26" ht="18.75" customHeight="1" x14ac:dyDescent="0.3">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spans="1:26" ht="18.75" customHeight="1" x14ac:dyDescent="0.3">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spans="1:26" ht="18.75" customHeight="1" x14ac:dyDescent="0.3">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spans="1:26" ht="18.75" customHeight="1" x14ac:dyDescent="0.3">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spans="1:26" ht="18.75" customHeight="1" x14ac:dyDescent="0.3">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spans="1:26" ht="18.75" customHeight="1" x14ac:dyDescent="0.3">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spans="1:26" ht="18.75" customHeight="1" x14ac:dyDescent="0.3">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spans="1:26" ht="18.75" customHeight="1" x14ac:dyDescent="0.3">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spans="1:26" ht="18.75" customHeight="1" x14ac:dyDescent="0.3">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spans="1:26" ht="18.75" customHeight="1" x14ac:dyDescent="0.3">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spans="1:26" ht="18.75" customHeight="1" x14ac:dyDescent="0.3">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spans="1:26" ht="18.75" customHeight="1" x14ac:dyDescent="0.3">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spans="1:26" ht="18.75" customHeight="1" x14ac:dyDescent="0.3">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spans="1:26" ht="18.75" customHeight="1" x14ac:dyDescent="0.3">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spans="1:26" ht="18.75" customHeight="1" x14ac:dyDescent="0.3">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spans="1:26" ht="18.75" customHeight="1" x14ac:dyDescent="0.3">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spans="1:26" ht="18.75" customHeight="1" x14ac:dyDescent="0.3">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spans="1:26" ht="18.75" customHeight="1" x14ac:dyDescent="0.3">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spans="1:26" ht="18.75" customHeight="1" x14ac:dyDescent="0.3">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spans="1:26" ht="18.75" customHeight="1" x14ac:dyDescent="0.3">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spans="1:26" ht="18.75" customHeight="1" x14ac:dyDescent="0.3">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spans="1:26" ht="18.75" customHeight="1" x14ac:dyDescent="0.3">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spans="1:26" ht="18.75" customHeight="1" x14ac:dyDescent="0.3">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spans="1:26" ht="18.75" customHeight="1" x14ac:dyDescent="0.3">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spans="1:26" ht="18.75" customHeight="1" x14ac:dyDescent="0.3">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spans="1:26" ht="18.75" customHeight="1" x14ac:dyDescent="0.3">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spans="1:26" ht="18.75" customHeight="1" x14ac:dyDescent="0.3">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spans="1:26" ht="18.75" customHeight="1" x14ac:dyDescent="0.3">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spans="1:26" ht="18.75" customHeight="1" x14ac:dyDescent="0.3">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spans="1:26" ht="18.75" customHeight="1" x14ac:dyDescent="0.3">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spans="1:26" ht="18.75" customHeight="1" x14ac:dyDescent="0.3">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spans="1:26" ht="18.75" customHeight="1" x14ac:dyDescent="0.3">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spans="1:26" ht="18.75" customHeight="1" x14ac:dyDescent="0.3">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spans="1:26" ht="18.75" customHeight="1" x14ac:dyDescent="0.3">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spans="1:26" ht="18.75" customHeight="1" x14ac:dyDescent="0.3">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spans="1:26" ht="18.75" customHeight="1" x14ac:dyDescent="0.3">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spans="1:26" ht="18.75" customHeight="1" x14ac:dyDescent="0.3">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row r="1001" spans="1:26" ht="18.75" customHeight="1" x14ac:dyDescent="0.3">
      <c r="A1001" s="2"/>
      <c r="B1001" s="2"/>
      <c r="C1001" s="2"/>
      <c r="D1001" s="2"/>
      <c r="E1001" s="2"/>
      <c r="F1001" s="2"/>
      <c r="G1001" s="2"/>
      <c r="H1001" s="2"/>
      <c r="I1001" s="2"/>
      <c r="J1001" s="2"/>
      <c r="K1001" s="2"/>
      <c r="L1001" s="2"/>
      <c r="M1001" s="2"/>
      <c r="N1001" s="2"/>
      <c r="O1001" s="2"/>
      <c r="P1001" s="2"/>
      <c r="Q1001" s="2"/>
      <c r="R1001" s="2"/>
      <c r="S1001" s="2"/>
      <c r="T1001" s="2"/>
      <c r="U1001" s="2"/>
      <c r="V1001" s="2"/>
      <c r="W1001" s="2"/>
      <c r="X1001" s="2"/>
      <c r="Y1001" s="2"/>
      <c r="Z1001" s="2"/>
    </row>
    <row r="1002" spans="1:26" ht="18.75" customHeight="1" x14ac:dyDescent="0.3">
      <c r="A1002" s="2"/>
      <c r="B1002" s="2"/>
      <c r="C1002" s="2"/>
      <c r="D1002" s="2"/>
      <c r="E1002" s="2"/>
      <c r="F1002" s="2"/>
      <c r="G1002" s="2"/>
      <c r="H1002" s="2"/>
      <c r="I1002" s="2"/>
      <c r="J1002" s="2"/>
      <c r="K1002" s="2"/>
      <c r="L1002" s="2"/>
      <c r="M1002" s="2"/>
      <c r="N1002" s="2"/>
      <c r="O1002" s="2"/>
      <c r="P1002" s="2"/>
      <c r="Q1002" s="2"/>
      <c r="R1002" s="2"/>
      <c r="S1002" s="2"/>
      <c r="T1002" s="2"/>
      <c r="U1002" s="2"/>
      <c r="V1002" s="2"/>
      <c r="W1002" s="2"/>
      <c r="X1002" s="2"/>
      <c r="Y1002" s="2"/>
      <c r="Z1002" s="2"/>
    </row>
    <row r="1003" spans="1:26" ht="18.75" customHeight="1" x14ac:dyDescent="0.3">
      <c r="A1003" s="2"/>
      <c r="B1003" s="2"/>
      <c r="C1003" s="2"/>
      <c r="D1003" s="2"/>
      <c r="E1003" s="2"/>
      <c r="F1003" s="2"/>
      <c r="G1003" s="2"/>
      <c r="H1003" s="2"/>
      <c r="I1003" s="2"/>
      <c r="J1003" s="2"/>
      <c r="K1003" s="2"/>
      <c r="L1003" s="2"/>
      <c r="M1003" s="2"/>
      <c r="N1003" s="2"/>
      <c r="O1003" s="2"/>
      <c r="P1003" s="2"/>
      <c r="Q1003" s="2"/>
      <c r="R1003" s="2"/>
      <c r="S1003" s="2"/>
      <c r="T1003" s="2"/>
      <c r="U1003" s="2"/>
      <c r="V1003" s="2"/>
      <c r="W1003" s="2"/>
      <c r="X1003" s="2"/>
      <c r="Y1003" s="2"/>
      <c r="Z1003" s="2"/>
    </row>
    <row r="1004" spans="1:26" ht="18.75" customHeight="1" x14ac:dyDescent="0.3">
      <c r="A1004" s="2"/>
      <c r="B1004" s="2"/>
      <c r="C1004" s="2"/>
      <c r="D1004" s="2"/>
      <c r="E1004" s="2"/>
      <c r="F1004" s="2"/>
      <c r="G1004" s="2"/>
      <c r="H1004" s="2"/>
      <c r="I1004" s="2"/>
      <c r="J1004" s="2"/>
      <c r="K1004" s="2"/>
      <c r="L1004" s="2"/>
      <c r="M1004" s="2"/>
      <c r="N1004" s="2"/>
      <c r="O1004" s="2"/>
      <c r="P1004" s="2"/>
      <c r="Q1004" s="2"/>
      <c r="R1004" s="2"/>
      <c r="S1004" s="2"/>
      <c r="T1004" s="2"/>
      <c r="U1004" s="2"/>
      <c r="V1004" s="2"/>
      <c r="W1004" s="2"/>
      <c r="X1004" s="2"/>
      <c r="Y1004" s="2"/>
      <c r="Z1004" s="2"/>
    </row>
    <row r="1005" spans="1:26" ht="18.75" customHeight="1" x14ac:dyDescent="0.3">
      <c r="A1005" s="2"/>
      <c r="B1005" s="2"/>
      <c r="C1005" s="2"/>
      <c r="D1005" s="2"/>
      <c r="E1005" s="2"/>
      <c r="F1005" s="2"/>
      <c r="G1005" s="2"/>
      <c r="H1005" s="2"/>
      <c r="I1005" s="2"/>
      <c r="J1005" s="2"/>
      <c r="K1005" s="2"/>
      <c r="L1005" s="2"/>
      <c r="M1005" s="2"/>
      <c r="N1005" s="2"/>
      <c r="O1005" s="2"/>
      <c r="P1005" s="2"/>
      <c r="Q1005" s="2"/>
      <c r="R1005" s="2"/>
      <c r="S1005" s="2"/>
      <c r="T1005" s="2"/>
      <c r="U1005" s="2"/>
      <c r="V1005" s="2"/>
      <c r="W1005" s="2"/>
      <c r="X1005" s="2"/>
      <c r="Y1005" s="2"/>
      <c r="Z1005" s="2"/>
    </row>
    <row r="1006" spans="1:26" ht="18.75" customHeight="1" x14ac:dyDescent="0.3">
      <c r="A1006" s="2"/>
      <c r="B1006" s="2"/>
      <c r="C1006" s="2"/>
      <c r="D1006" s="2"/>
      <c r="E1006" s="2"/>
      <c r="F1006" s="2"/>
      <c r="G1006" s="2"/>
      <c r="H1006" s="2"/>
      <c r="I1006" s="2"/>
      <c r="J1006" s="2"/>
      <c r="K1006" s="2"/>
      <c r="L1006" s="2"/>
      <c r="M1006" s="2"/>
      <c r="N1006" s="2"/>
      <c r="O1006" s="2"/>
      <c r="P1006" s="2"/>
      <c r="Q1006" s="2"/>
      <c r="R1006" s="2"/>
      <c r="S1006" s="2"/>
      <c r="T1006" s="2"/>
      <c r="U1006" s="2"/>
      <c r="V1006" s="2"/>
      <c r="W1006" s="2"/>
      <c r="X1006" s="2"/>
      <c r="Y1006" s="2"/>
      <c r="Z1006" s="2"/>
    </row>
    <row r="1007" spans="1:26" ht="18.75" customHeight="1" x14ac:dyDescent="0.3">
      <c r="A1007" s="2"/>
      <c r="B1007" s="2"/>
      <c r="C1007" s="2"/>
      <c r="D1007" s="2"/>
      <c r="E1007" s="2"/>
      <c r="F1007" s="2"/>
      <c r="G1007" s="2"/>
      <c r="H1007" s="2"/>
      <c r="I1007" s="2"/>
      <c r="J1007" s="2"/>
      <c r="K1007" s="2"/>
      <c r="L1007" s="2"/>
      <c r="M1007" s="2"/>
      <c r="N1007" s="2"/>
      <c r="O1007" s="2"/>
      <c r="P1007" s="2"/>
      <c r="Q1007" s="2"/>
      <c r="R1007" s="2"/>
      <c r="S1007" s="2"/>
      <c r="T1007" s="2"/>
      <c r="U1007" s="2"/>
      <c r="V1007" s="2"/>
      <c r="W1007" s="2"/>
      <c r="X1007" s="2"/>
      <c r="Y1007" s="2"/>
      <c r="Z1007" s="2"/>
    </row>
    <row r="1008" spans="1:26" ht="18.75" customHeight="1" x14ac:dyDescent="0.3">
      <c r="A1008" s="2"/>
      <c r="B1008" s="2"/>
      <c r="C1008" s="2"/>
      <c r="D1008" s="2"/>
      <c r="E1008" s="2"/>
      <c r="F1008" s="2"/>
      <c r="G1008" s="2"/>
      <c r="H1008" s="2"/>
      <c r="I1008" s="2"/>
      <c r="J1008" s="2"/>
      <c r="K1008" s="2"/>
      <c r="L1008" s="2"/>
      <c r="M1008" s="2"/>
      <c r="N1008" s="2"/>
      <c r="O1008" s="2"/>
      <c r="P1008" s="2"/>
      <c r="Q1008" s="2"/>
      <c r="R1008" s="2"/>
      <c r="S1008" s="2"/>
      <c r="T1008" s="2"/>
      <c r="U1008" s="2"/>
      <c r="V1008" s="2"/>
      <c r="W1008" s="2"/>
      <c r="X1008" s="2"/>
      <c r="Y1008" s="2"/>
      <c r="Z1008" s="2"/>
    </row>
    <row r="1009" spans="1:26" ht="18.75" customHeight="1" x14ac:dyDescent="0.3">
      <c r="A1009" s="2"/>
      <c r="B1009" s="2"/>
      <c r="C1009" s="2"/>
      <c r="D1009" s="2"/>
      <c r="E1009" s="2"/>
      <c r="F1009" s="2"/>
      <c r="G1009" s="2"/>
      <c r="H1009" s="2"/>
      <c r="I1009" s="2"/>
      <c r="J1009" s="2"/>
      <c r="K1009" s="2"/>
      <c r="L1009" s="2"/>
      <c r="M1009" s="2"/>
      <c r="N1009" s="2"/>
      <c r="O1009" s="2"/>
      <c r="P1009" s="2"/>
      <c r="Q1009" s="2"/>
      <c r="R1009" s="2"/>
      <c r="S1009" s="2"/>
      <c r="T1009" s="2"/>
      <c r="U1009" s="2"/>
      <c r="V1009" s="2"/>
      <c r="W1009" s="2"/>
      <c r="X1009" s="2"/>
      <c r="Y1009" s="2"/>
      <c r="Z1009" s="2"/>
    </row>
    <row r="1010" spans="1:26" ht="18.75" customHeight="1" x14ac:dyDescent="0.3">
      <c r="A1010" s="2"/>
      <c r="B1010" s="2"/>
      <c r="C1010" s="2"/>
      <c r="D1010" s="2"/>
      <c r="E1010" s="2"/>
      <c r="F1010" s="2"/>
      <c r="G1010" s="2"/>
      <c r="H1010" s="2"/>
      <c r="I1010" s="2"/>
      <c r="J1010" s="2"/>
      <c r="K1010" s="2"/>
      <c r="L1010" s="2"/>
      <c r="M1010" s="2"/>
      <c r="N1010" s="2"/>
      <c r="O1010" s="2"/>
      <c r="P1010" s="2"/>
      <c r="Q1010" s="2"/>
      <c r="R1010" s="2"/>
      <c r="S1010" s="2"/>
      <c r="T1010" s="2"/>
      <c r="U1010" s="2"/>
      <c r="V1010" s="2"/>
      <c r="W1010" s="2"/>
      <c r="X1010" s="2"/>
      <c r="Y1010" s="2"/>
      <c r="Z1010" s="2"/>
    </row>
    <row r="1011" spans="1:26" ht="18.75" customHeight="1" x14ac:dyDescent="0.3">
      <c r="A1011" s="2"/>
      <c r="B1011" s="2"/>
      <c r="C1011" s="2"/>
      <c r="D1011" s="2"/>
      <c r="E1011" s="2"/>
      <c r="F1011" s="2"/>
      <c r="G1011" s="2"/>
      <c r="H1011" s="2"/>
      <c r="I1011" s="2"/>
      <c r="J1011" s="2"/>
      <c r="K1011" s="2"/>
      <c r="L1011" s="2"/>
      <c r="M1011" s="2"/>
      <c r="N1011" s="2"/>
      <c r="O1011" s="2"/>
      <c r="P1011" s="2"/>
      <c r="Q1011" s="2"/>
      <c r="R1011" s="2"/>
      <c r="S1011" s="2"/>
      <c r="T1011" s="2"/>
      <c r="U1011" s="2"/>
      <c r="V1011" s="2"/>
      <c r="W1011" s="2"/>
      <c r="X1011" s="2"/>
      <c r="Y1011" s="2"/>
      <c r="Z1011" s="2"/>
    </row>
    <row r="1012" spans="1:26" ht="18.75" customHeight="1" x14ac:dyDescent="0.3">
      <c r="A1012" s="2"/>
      <c r="B1012" s="2"/>
      <c r="C1012" s="2"/>
      <c r="D1012" s="2"/>
      <c r="E1012" s="2"/>
      <c r="F1012" s="2"/>
      <c r="G1012" s="2"/>
      <c r="H1012" s="2"/>
      <c r="I1012" s="2"/>
      <c r="J1012" s="2"/>
      <c r="K1012" s="2"/>
      <c r="L1012" s="2"/>
      <c r="M1012" s="2"/>
      <c r="N1012" s="2"/>
      <c r="O1012" s="2"/>
      <c r="P1012" s="2"/>
      <c r="Q1012" s="2"/>
      <c r="R1012" s="2"/>
      <c r="S1012" s="2"/>
      <c r="T1012" s="2"/>
      <c r="U1012" s="2"/>
      <c r="V1012" s="2"/>
      <c r="W1012" s="2"/>
      <c r="X1012" s="2"/>
      <c r="Y1012" s="2"/>
      <c r="Z1012" s="2"/>
    </row>
    <row r="1013" spans="1:26" ht="18.75" customHeight="1" x14ac:dyDescent="0.3">
      <c r="A1013" s="2"/>
      <c r="B1013" s="2"/>
      <c r="C1013" s="2"/>
      <c r="D1013" s="2"/>
      <c r="E1013" s="2"/>
      <c r="F1013" s="2"/>
      <c r="G1013" s="2"/>
      <c r="H1013" s="2"/>
      <c r="I1013" s="2"/>
      <c r="J1013" s="2"/>
      <c r="K1013" s="2"/>
      <c r="L1013" s="2"/>
      <c r="M1013" s="2"/>
      <c r="N1013" s="2"/>
      <c r="O1013" s="2"/>
      <c r="P1013" s="2"/>
      <c r="Q1013" s="2"/>
      <c r="R1013" s="2"/>
      <c r="S1013" s="2"/>
      <c r="T1013" s="2"/>
      <c r="U1013" s="2"/>
      <c r="V1013" s="2"/>
      <c r="W1013" s="2"/>
      <c r="X1013" s="2"/>
      <c r="Y1013" s="2"/>
      <c r="Z1013" s="2"/>
    </row>
    <row r="1014" spans="1:26" ht="18.75" customHeight="1" x14ac:dyDescent="0.3">
      <c r="A1014" s="2"/>
      <c r="B1014" s="2"/>
      <c r="C1014" s="2"/>
      <c r="D1014" s="2"/>
      <c r="E1014" s="2"/>
      <c r="F1014" s="2"/>
      <c r="G1014" s="2"/>
      <c r="H1014" s="2"/>
      <c r="I1014" s="2"/>
      <c r="J1014" s="2"/>
      <c r="K1014" s="2"/>
      <c r="L1014" s="2"/>
      <c r="M1014" s="2"/>
      <c r="N1014" s="2"/>
      <c r="O1014" s="2"/>
      <c r="P1014" s="2"/>
      <c r="Q1014" s="2"/>
      <c r="R1014" s="2"/>
      <c r="S1014" s="2"/>
      <c r="T1014" s="2"/>
      <c r="U1014" s="2"/>
      <c r="V1014" s="2"/>
      <c r="W1014" s="2"/>
      <c r="X1014" s="2"/>
      <c r="Y1014" s="2"/>
      <c r="Z1014" s="2"/>
    </row>
    <row r="1015" spans="1:26" ht="18.75" customHeight="1" x14ac:dyDescent="0.3">
      <c r="A1015" s="2"/>
      <c r="B1015" s="2"/>
      <c r="C1015" s="2"/>
      <c r="D1015" s="2"/>
      <c r="E1015" s="2"/>
      <c r="F1015" s="2"/>
      <c r="G1015" s="2"/>
      <c r="H1015" s="2"/>
      <c r="I1015" s="2"/>
      <c r="J1015" s="2"/>
      <c r="K1015" s="2"/>
      <c r="L1015" s="2"/>
      <c r="M1015" s="2"/>
      <c r="N1015" s="2"/>
      <c r="O1015" s="2"/>
      <c r="P1015" s="2"/>
      <c r="Q1015" s="2"/>
      <c r="R1015" s="2"/>
      <c r="S1015" s="2"/>
      <c r="T1015" s="2"/>
      <c r="U1015" s="2"/>
      <c r="V1015" s="2"/>
      <c r="W1015" s="2"/>
      <c r="X1015" s="2"/>
      <c r="Y1015" s="2"/>
      <c r="Z1015" s="2"/>
    </row>
    <row r="1016" spans="1:26" ht="18.75" customHeight="1" x14ac:dyDescent="0.3">
      <c r="A1016" s="2"/>
      <c r="B1016" s="2"/>
      <c r="C1016" s="2"/>
      <c r="D1016" s="2"/>
      <c r="E1016" s="2"/>
      <c r="F1016" s="2"/>
      <c r="G1016" s="2"/>
      <c r="H1016" s="2"/>
      <c r="I1016" s="2"/>
      <c r="J1016" s="2"/>
      <c r="K1016" s="2"/>
      <c r="L1016" s="2"/>
      <c r="M1016" s="2"/>
      <c r="N1016" s="2"/>
      <c r="O1016" s="2"/>
      <c r="P1016" s="2"/>
      <c r="Q1016" s="2"/>
      <c r="R1016" s="2"/>
      <c r="S1016" s="2"/>
      <c r="T1016" s="2"/>
      <c r="U1016" s="2"/>
      <c r="V1016" s="2"/>
      <c r="W1016" s="2"/>
      <c r="X1016" s="2"/>
      <c r="Y1016" s="2"/>
      <c r="Z1016" s="2"/>
    </row>
    <row r="1017" spans="1:26" ht="18.75" customHeight="1" x14ac:dyDescent="0.3">
      <c r="A1017" s="2"/>
      <c r="B1017" s="2"/>
      <c r="C1017" s="2"/>
      <c r="D1017" s="2"/>
      <c r="E1017" s="2"/>
      <c r="F1017" s="2"/>
      <c r="G1017" s="2"/>
      <c r="H1017" s="2"/>
      <c r="I1017" s="2"/>
      <c r="J1017" s="2"/>
      <c r="K1017" s="2"/>
      <c r="L1017" s="2"/>
      <c r="M1017" s="2"/>
      <c r="N1017" s="2"/>
      <c r="O1017" s="2"/>
      <c r="P1017" s="2"/>
      <c r="Q1017" s="2"/>
      <c r="R1017" s="2"/>
      <c r="S1017" s="2"/>
      <c r="T1017" s="2"/>
      <c r="U1017" s="2"/>
      <c r="V1017" s="2"/>
      <c r="W1017" s="2"/>
      <c r="X1017" s="2"/>
      <c r="Y1017" s="2"/>
      <c r="Z1017" s="2"/>
    </row>
    <row r="1018" spans="1:26" ht="18.75" customHeight="1" x14ac:dyDescent="0.3">
      <c r="A1018" s="2"/>
      <c r="B1018" s="2"/>
      <c r="C1018" s="2"/>
      <c r="D1018" s="2"/>
      <c r="E1018" s="2"/>
      <c r="F1018" s="2"/>
      <c r="G1018" s="2"/>
      <c r="H1018" s="2"/>
      <c r="I1018" s="2"/>
      <c r="J1018" s="2"/>
      <c r="K1018" s="2"/>
      <c r="L1018" s="2"/>
      <c r="M1018" s="2"/>
      <c r="N1018" s="2"/>
      <c r="O1018" s="2"/>
      <c r="P1018" s="2"/>
      <c r="Q1018" s="2"/>
      <c r="R1018" s="2"/>
      <c r="S1018" s="2"/>
      <c r="T1018" s="2"/>
      <c r="U1018" s="2"/>
      <c r="V1018" s="2"/>
      <c r="W1018" s="2"/>
      <c r="X1018" s="2"/>
      <c r="Y1018" s="2"/>
      <c r="Z1018" s="2"/>
    </row>
    <row r="1019" spans="1:26" ht="18.75" customHeight="1" x14ac:dyDescent="0.3">
      <c r="A1019" s="2"/>
      <c r="B1019" s="2"/>
      <c r="C1019" s="2"/>
      <c r="D1019" s="2"/>
      <c r="E1019" s="2"/>
      <c r="F1019" s="2"/>
      <c r="G1019" s="2"/>
      <c r="H1019" s="2"/>
      <c r="I1019" s="2"/>
      <c r="J1019" s="2"/>
      <c r="K1019" s="2"/>
      <c r="L1019" s="2"/>
      <c r="M1019" s="2"/>
      <c r="N1019" s="2"/>
      <c r="O1019" s="2"/>
      <c r="P1019" s="2"/>
      <c r="Q1019" s="2"/>
      <c r="R1019" s="2"/>
      <c r="S1019" s="2"/>
      <c r="T1019" s="2"/>
      <c r="U1019" s="2"/>
      <c r="V1019" s="2"/>
      <c r="W1019" s="2"/>
      <c r="X1019" s="2"/>
      <c r="Y1019" s="2"/>
      <c r="Z1019" s="2"/>
    </row>
    <row r="1020" spans="1:26" ht="18.75" customHeight="1" x14ac:dyDescent="0.3">
      <c r="A1020" s="2"/>
      <c r="B1020" s="2"/>
      <c r="C1020" s="2"/>
      <c r="D1020" s="2"/>
      <c r="E1020" s="2"/>
      <c r="F1020" s="2"/>
      <c r="G1020" s="2"/>
      <c r="H1020" s="2"/>
      <c r="I1020" s="2"/>
      <c r="J1020" s="2"/>
      <c r="K1020" s="2"/>
      <c r="L1020" s="2"/>
      <c r="M1020" s="2"/>
      <c r="N1020" s="2"/>
      <c r="O1020" s="2"/>
      <c r="P1020" s="2"/>
      <c r="Q1020" s="2"/>
      <c r="R1020" s="2"/>
      <c r="S1020" s="2"/>
      <c r="T1020" s="2"/>
      <c r="U1020" s="2"/>
      <c r="V1020" s="2"/>
      <c r="W1020" s="2"/>
      <c r="X1020" s="2"/>
      <c r="Y1020" s="2"/>
      <c r="Z1020" s="2"/>
    </row>
    <row r="1021" spans="1:26" ht="18.75" customHeight="1" x14ac:dyDescent="0.3">
      <c r="A1021" s="2"/>
      <c r="B1021" s="2"/>
      <c r="C1021" s="2"/>
      <c r="D1021" s="2"/>
      <c r="E1021" s="2"/>
      <c r="F1021" s="2"/>
      <c r="G1021" s="2"/>
      <c r="H1021" s="2"/>
      <c r="I1021" s="2"/>
      <c r="J1021" s="2"/>
      <c r="K1021" s="2"/>
      <c r="L1021" s="2"/>
      <c r="M1021" s="2"/>
      <c r="N1021" s="2"/>
      <c r="O1021" s="2"/>
      <c r="P1021" s="2"/>
      <c r="Q1021" s="2"/>
      <c r="R1021" s="2"/>
      <c r="S1021" s="2"/>
      <c r="T1021" s="2"/>
      <c r="U1021" s="2"/>
      <c r="V1021" s="2"/>
      <c r="W1021" s="2"/>
      <c r="X1021" s="2"/>
      <c r="Y1021" s="2"/>
      <c r="Z1021" s="2"/>
    </row>
    <row r="1022" spans="1:26" ht="18.75" customHeight="1" x14ac:dyDescent="0.3">
      <c r="A1022" s="2"/>
      <c r="B1022" s="2"/>
      <c r="C1022" s="2"/>
      <c r="D1022" s="2"/>
      <c r="E1022" s="2"/>
      <c r="F1022" s="2"/>
      <c r="G1022" s="2"/>
      <c r="H1022" s="2"/>
      <c r="I1022" s="2"/>
      <c r="J1022" s="2"/>
      <c r="K1022" s="2"/>
      <c r="L1022" s="2"/>
      <c r="M1022" s="2"/>
      <c r="N1022" s="2"/>
      <c r="O1022" s="2"/>
      <c r="P1022" s="2"/>
      <c r="Q1022" s="2"/>
      <c r="R1022" s="2"/>
      <c r="S1022" s="2"/>
      <c r="T1022" s="2"/>
      <c r="U1022" s="2"/>
      <c r="V1022" s="2"/>
      <c r="W1022" s="2"/>
      <c r="X1022" s="2"/>
      <c r="Y1022" s="2"/>
      <c r="Z1022" s="2"/>
    </row>
    <row r="1023" spans="1:26" ht="18.75" customHeight="1" x14ac:dyDescent="0.3">
      <c r="A1023" s="2"/>
      <c r="B1023" s="2"/>
      <c r="C1023" s="2"/>
      <c r="D1023" s="2"/>
      <c r="E1023" s="2"/>
      <c r="F1023" s="2"/>
      <c r="G1023" s="2"/>
      <c r="H1023" s="2"/>
      <c r="I1023" s="2"/>
      <c r="J1023" s="2"/>
      <c r="K1023" s="2"/>
      <c r="L1023" s="2"/>
      <c r="M1023" s="2"/>
      <c r="N1023" s="2"/>
      <c r="O1023" s="2"/>
      <c r="P1023" s="2"/>
      <c r="Q1023" s="2"/>
      <c r="R1023" s="2"/>
      <c r="S1023" s="2"/>
      <c r="T1023" s="2"/>
      <c r="U1023" s="2"/>
      <c r="V1023" s="2"/>
      <c r="W1023" s="2"/>
      <c r="X1023" s="2"/>
      <c r="Y1023" s="2"/>
      <c r="Z1023" s="2"/>
    </row>
    <row r="1024" spans="1:26" ht="18.75" customHeight="1" x14ac:dyDescent="0.3">
      <c r="A1024" s="2"/>
      <c r="B1024" s="2"/>
      <c r="C1024" s="2"/>
      <c r="D1024" s="2"/>
      <c r="E1024" s="2"/>
      <c r="F1024" s="2"/>
      <c r="G1024" s="2"/>
      <c r="H1024" s="2"/>
      <c r="I1024" s="2"/>
      <c r="J1024" s="2"/>
      <c r="K1024" s="2"/>
      <c r="L1024" s="2"/>
      <c r="M1024" s="2"/>
      <c r="N1024" s="2"/>
      <c r="O1024" s="2"/>
      <c r="P1024" s="2"/>
      <c r="Q1024" s="2"/>
      <c r="R1024" s="2"/>
      <c r="S1024" s="2"/>
      <c r="T1024" s="2"/>
      <c r="U1024" s="2"/>
      <c r="V1024" s="2"/>
      <c r="W1024" s="2"/>
      <c r="X1024" s="2"/>
      <c r="Y1024" s="2"/>
      <c r="Z1024" s="2"/>
    </row>
    <row r="1025" spans="1:26" ht="18.75" customHeight="1" x14ac:dyDescent="0.3">
      <c r="A1025" s="2"/>
      <c r="B1025" s="2"/>
      <c r="C1025" s="2"/>
      <c r="D1025" s="2"/>
      <c r="E1025" s="2"/>
      <c r="F1025" s="2"/>
      <c r="G1025" s="2"/>
      <c r="H1025" s="2"/>
      <c r="I1025" s="2"/>
      <c r="J1025" s="2"/>
      <c r="K1025" s="2"/>
      <c r="L1025" s="2"/>
      <c r="M1025" s="2"/>
      <c r="N1025" s="2"/>
      <c r="O1025" s="2"/>
      <c r="P1025" s="2"/>
      <c r="Q1025" s="2"/>
      <c r="R1025" s="2"/>
      <c r="S1025" s="2"/>
      <c r="T1025" s="2"/>
      <c r="U1025" s="2"/>
      <c r="V1025" s="2"/>
      <c r="W1025" s="2"/>
      <c r="X1025" s="2"/>
      <c r="Y1025" s="2"/>
      <c r="Z1025" s="2"/>
    </row>
    <row r="1026" spans="1:26" ht="18.75" customHeight="1" x14ac:dyDescent="0.3">
      <c r="A1026" s="2"/>
      <c r="B1026" s="2"/>
      <c r="C1026" s="2"/>
      <c r="D1026" s="2"/>
      <c r="E1026" s="2"/>
      <c r="F1026" s="2"/>
      <c r="G1026" s="2"/>
      <c r="H1026" s="2"/>
      <c r="I1026" s="2"/>
      <c r="J1026" s="2"/>
      <c r="K1026" s="2"/>
      <c r="L1026" s="2"/>
      <c r="M1026" s="2"/>
      <c r="N1026" s="2"/>
      <c r="O1026" s="2"/>
      <c r="P1026" s="2"/>
      <c r="Q1026" s="2"/>
      <c r="R1026" s="2"/>
      <c r="S1026" s="2"/>
      <c r="T1026" s="2"/>
      <c r="U1026" s="2"/>
      <c r="V1026" s="2"/>
      <c r="W1026" s="2"/>
      <c r="X1026" s="2"/>
      <c r="Y1026" s="2"/>
      <c r="Z1026" s="2"/>
    </row>
    <row r="1027" spans="1:26" ht="18.75" customHeight="1" x14ac:dyDescent="0.3">
      <c r="A1027" s="2"/>
      <c r="B1027" s="2"/>
      <c r="C1027" s="2"/>
      <c r="D1027" s="2"/>
      <c r="E1027" s="2"/>
      <c r="F1027" s="2"/>
      <c r="G1027" s="2"/>
      <c r="H1027" s="2"/>
      <c r="I1027" s="2"/>
      <c r="J1027" s="2"/>
      <c r="K1027" s="2"/>
      <c r="L1027" s="2"/>
      <c r="M1027" s="2"/>
      <c r="N1027" s="2"/>
      <c r="O1027" s="2"/>
      <c r="P1027" s="2"/>
      <c r="Q1027" s="2"/>
      <c r="R1027" s="2"/>
      <c r="S1027" s="2"/>
      <c r="T1027" s="2"/>
      <c r="U1027" s="2"/>
      <c r="V1027" s="2"/>
      <c r="W1027" s="2"/>
      <c r="X1027" s="2"/>
      <c r="Y1027" s="2"/>
      <c r="Z1027" s="2"/>
    </row>
    <row r="1028" spans="1:26" ht="18.75" customHeight="1" x14ac:dyDescent="0.3">
      <c r="A1028" s="2"/>
      <c r="B1028" s="2"/>
      <c r="C1028" s="2"/>
      <c r="D1028" s="2"/>
      <c r="E1028" s="2"/>
      <c r="F1028" s="2"/>
      <c r="G1028" s="2"/>
      <c r="H1028" s="2"/>
      <c r="I1028" s="2"/>
      <c r="J1028" s="2"/>
      <c r="K1028" s="2"/>
      <c r="L1028" s="2"/>
      <c r="M1028" s="2"/>
      <c r="N1028" s="2"/>
      <c r="O1028" s="2"/>
      <c r="P1028" s="2"/>
      <c r="Q1028" s="2"/>
      <c r="R1028" s="2"/>
      <c r="S1028" s="2"/>
      <c r="T1028" s="2"/>
      <c r="U1028" s="2"/>
      <c r="V1028" s="2"/>
      <c r="W1028" s="2"/>
      <c r="X1028" s="2"/>
      <c r="Y1028" s="2"/>
      <c r="Z1028" s="2"/>
    </row>
    <row r="1029" spans="1:26" ht="18.75" customHeight="1" x14ac:dyDescent="0.3">
      <c r="A1029" s="2"/>
      <c r="B1029" s="2"/>
      <c r="C1029" s="2"/>
      <c r="D1029" s="2"/>
      <c r="E1029" s="2"/>
      <c r="F1029" s="2"/>
      <c r="G1029" s="2"/>
      <c r="H1029" s="2"/>
      <c r="I1029" s="2"/>
      <c r="J1029" s="2"/>
      <c r="K1029" s="2"/>
      <c r="L1029" s="2"/>
      <c r="M1029" s="2"/>
      <c r="N1029" s="2"/>
      <c r="O1029" s="2"/>
      <c r="P1029" s="2"/>
      <c r="Q1029" s="2"/>
      <c r="R1029" s="2"/>
      <c r="S1029" s="2"/>
      <c r="T1029" s="2"/>
      <c r="U1029" s="2"/>
      <c r="V1029" s="2"/>
      <c r="W1029" s="2"/>
      <c r="X1029" s="2"/>
      <c r="Y1029" s="2"/>
      <c r="Z1029" s="2"/>
    </row>
    <row r="1030" spans="1:26" ht="18.75" customHeight="1" x14ac:dyDescent="0.3">
      <c r="A1030" s="2"/>
      <c r="B1030" s="2"/>
      <c r="C1030" s="2"/>
      <c r="D1030" s="2"/>
      <c r="E1030" s="2"/>
      <c r="F1030" s="2"/>
      <c r="G1030" s="2"/>
      <c r="H1030" s="2"/>
      <c r="I1030" s="2"/>
      <c r="J1030" s="2"/>
      <c r="K1030" s="2"/>
      <c r="L1030" s="2"/>
      <c r="M1030" s="2"/>
      <c r="N1030" s="2"/>
      <c r="O1030" s="2"/>
      <c r="P1030" s="2"/>
      <c r="Q1030" s="2"/>
      <c r="R1030" s="2"/>
      <c r="S1030" s="2"/>
      <c r="T1030" s="2"/>
      <c r="U1030" s="2"/>
      <c r="V1030" s="2"/>
      <c r="W1030" s="2"/>
      <c r="X1030" s="2"/>
      <c r="Y1030" s="2"/>
      <c r="Z1030" s="2"/>
    </row>
    <row r="1031" spans="1:26" ht="18.75" customHeight="1" x14ac:dyDescent="0.3">
      <c r="A1031" s="2"/>
      <c r="B1031" s="2"/>
      <c r="C1031" s="2"/>
      <c r="D1031" s="2"/>
      <c r="E1031" s="2"/>
      <c r="F1031" s="2"/>
      <c r="G1031" s="2"/>
      <c r="H1031" s="2"/>
      <c r="I1031" s="2"/>
      <c r="J1031" s="2"/>
      <c r="K1031" s="2"/>
      <c r="L1031" s="2"/>
      <c r="M1031" s="2"/>
      <c r="N1031" s="2"/>
      <c r="O1031" s="2"/>
      <c r="P1031" s="2"/>
      <c r="Q1031" s="2"/>
      <c r="R1031" s="2"/>
      <c r="S1031" s="2"/>
      <c r="T1031" s="2"/>
      <c r="U1031" s="2"/>
      <c r="V1031" s="2"/>
      <c r="W1031" s="2"/>
      <c r="X1031" s="2"/>
      <c r="Y1031" s="2"/>
      <c r="Z1031" s="2"/>
    </row>
    <row r="1032" spans="1:26" ht="18.75" customHeight="1" x14ac:dyDescent="0.3">
      <c r="A1032" s="2"/>
      <c r="B1032" s="2"/>
      <c r="C1032" s="2"/>
      <c r="D1032" s="2"/>
      <c r="E1032" s="2"/>
      <c r="F1032" s="2"/>
      <c r="G1032" s="2"/>
      <c r="H1032" s="2"/>
      <c r="I1032" s="2"/>
      <c r="J1032" s="2"/>
      <c r="K1032" s="2"/>
      <c r="L1032" s="2"/>
      <c r="M1032" s="2"/>
      <c r="N1032" s="2"/>
      <c r="O1032" s="2"/>
      <c r="P1032" s="2"/>
      <c r="Q1032" s="2"/>
      <c r="R1032" s="2"/>
      <c r="S1032" s="2"/>
      <c r="T1032" s="2"/>
      <c r="U1032" s="2"/>
      <c r="V1032" s="2"/>
      <c r="W1032" s="2"/>
      <c r="X1032" s="2"/>
      <c r="Y1032" s="2"/>
      <c r="Z1032" s="2"/>
    </row>
    <row r="1033" spans="1:26" ht="18.75" customHeight="1" x14ac:dyDescent="0.3">
      <c r="A1033" s="2"/>
      <c r="B1033" s="2"/>
      <c r="C1033" s="2"/>
      <c r="D1033" s="2"/>
      <c r="E1033" s="2"/>
      <c r="F1033" s="2"/>
      <c r="G1033" s="2"/>
      <c r="H1033" s="2"/>
      <c r="I1033" s="2"/>
      <c r="J1033" s="2"/>
      <c r="K1033" s="2"/>
      <c r="L1033" s="2"/>
      <c r="M1033" s="2"/>
      <c r="N1033" s="2"/>
      <c r="O1033" s="2"/>
      <c r="P1033" s="2"/>
      <c r="Q1033" s="2"/>
      <c r="R1033" s="2"/>
      <c r="S1033" s="2"/>
      <c r="T1033" s="2"/>
      <c r="U1033" s="2"/>
      <c r="V1033" s="2"/>
      <c r="W1033" s="2"/>
      <c r="X1033" s="2"/>
      <c r="Y1033" s="2"/>
      <c r="Z1033" s="2"/>
    </row>
    <row r="1034" spans="1:26" ht="18.75" customHeight="1" x14ac:dyDescent="0.3">
      <c r="A1034" s="2"/>
      <c r="B1034" s="2"/>
      <c r="C1034" s="2"/>
      <c r="D1034" s="2"/>
      <c r="E1034" s="2"/>
      <c r="F1034" s="2"/>
      <c r="G1034" s="2"/>
      <c r="H1034" s="2"/>
      <c r="I1034" s="2"/>
      <c r="J1034" s="2"/>
      <c r="K1034" s="2"/>
      <c r="L1034" s="2"/>
      <c r="M1034" s="2"/>
      <c r="N1034" s="2"/>
      <c r="O1034" s="2"/>
      <c r="P1034" s="2"/>
      <c r="Q1034" s="2"/>
      <c r="R1034" s="2"/>
      <c r="S1034" s="2"/>
      <c r="T1034" s="2"/>
      <c r="U1034" s="2"/>
      <c r="V1034" s="2"/>
      <c r="W1034" s="2"/>
      <c r="X1034" s="2"/>
      <c r="Y1034" s="2"/>
      <c r="Z1034" s="2"/>
    </row>
    <row r="1035" spans="1:26" ht="18.75" customHeight="1" x14ac:dyDescent="0.3">
      <c r="A1035" s="2"/>
      <c r="B1035" s="2"/>
      <c r="C1035" s="2"/>
      <c r="D1035" s="2"/>
      <c r="E1035" s="2"/>
      <c r="F1035" s="2"/>
      <c r="G1035" s="2"/>
      <c r="H1035" s="2"/>
      <c r="I1035" s="2"/>
      <c r="J1035" s="2"/>
      <c r="K1035" s="2"/>
      <c r="L1035" s="2"/>
      <c r="M1035" s="2"/>
      <c r="N1035" s="2"/>
      <c r="O1035" s="2"/>
      <c r="P1035" s="2"/>
      <c r="Q1035" s="2"/>
      <c r="R1035" s="2"/>
      <c r="S1035" s="2"/>
      <c r="T1035" s="2"/>
      <c r="U1035" s="2"/>
      <c r="V1035" s="2"/>
      <c r="W1035" s="2"/>
      <c r="X1035" s="2"/>
      <c r="Y1035" s="2"/>
      <c r="Z1035" s="2"/>
    </row>
    <row r="1036" spans="1:26" ht="18.75" customHeight="1" x14ac:dyDescent="0.3">
      <c r="A1036" s="2"/>
      <c r="B1036" s="2"/>
      <c r="C1036" s="2"/>
      <c r="D1036" s="2"/>
      <c r="E1036" s="2"/>
      <c r="F1036" s="2"/>
      <c r="G1036" s="2"/>
      <c r="H1036" s="2"/>
      <c r="I1036" s="2"/>
      <c r="J1036" s="2"/>
      <c r="K1036" s="2"/>
      <c r="L1036" s="2"/>
      <c r="M1036" s="2"/>
      <c r="N1036" s="2"/>
      <c r="O1036" s="2"/>
      <c r="P1036" s="2"/>
      <c r="Q1036" s="2"/>
      <c r="R1036" s="2"/>
      <c r="S1036" s="2"/>
      <c r="T1036" s="2"/>
      <c r="U1036" s="2"/>
      <c r="V1036" s="2"/>
      <c r="W1036" s="2"/>
      <c r="X1036" s="2"/>
      <c r="Y1036" s="2"/>
      <c r="Z1036" s="2"/>
    </row>
    <row r="1037" spans="1:26" ht="18.75" customHeight="1" x14ac:dyDescent="0.3">
      <c r="A1037" s="2"/>
      <c r="B1037" s="2"/>
      <c r="C1037" s="2"/>
      <c r="D1037" s="2"/>
      <c r="E1037" s="2"/>
      <c r="F1037" s="2"/>
      <c r="G1037" s="2"/>
      <c r="H1037" s="2"/>
      <c r="I1037" s="2"/>
      <c r="J1037" s="2"/>
      <c r="K1037" s="2"/>
      <c r="L1037" s="2"/>
      <c r="M1037" s="2"/>
      <c r="N1037" s="2"/>
      <c r="O1037" s="2"/>
      <c r="P1037" s="2"/>
      <c r="Q1037" s="2"/>
      <c r="R1037" s="2"/>
      <c r="S1037" s="2"/>
      <c r="T1037" s="2"/>
      <c r="U1037" s="2"/>
      <c r="V1037" s="2"/>
      <c r="W1037" s="2"/>
      <c r="X1037" s="2"/>
      <c r="Y1037" s="2"/>
      <c r="Z1037" s="2"/>
    </row>
    <row r="1038" spans="1:26" ht="18.75" customHeight="1" x14ac:dyDescent="0.3">
      <c r="A1038" s="2"/>
      <c r="B1038" s="2"/>
      <c r="C1038" s="2"/>
      <c r="D1038" s="2"/>
      <c r="E1038" s="2"/>
      <c r="F1038" s="2"/>
      <c r="G1038" s="2"/>
      <c r="H1038" s="2"/>
      <c r="I1038" s="2"/>
      <c r="J1038" s="2"/>
      <c r="K1038" s="2"/>
      <c r="L1038" s="2"/>
      <c r="M1038" s="2"/>
      <c r="N1038" s="2"/>
      <c r="O1038" s="2"/>
      <c r="P1038" s="2"/>
      <c r="Q1038" s="2"/>
      <c r="R1038" s="2"/>
      <c r="S1038" s="2"/>
      <c r="T1038" s="2"/>
      <c r="U1038" s="2"/>
      <c r="V1038" s="2"/>
      <c r="W1038" s="2"/>
      <c r="X1038" s="2"/>
      <c r="Y1038" s="2"/>
      <c r="Z1038" s="2"/>
    </row>
    <row r="1039" spans="1:26" ht="18.75" customHeight="1" x14ac:dyDescent="0.3">
      <c r="A1039" s="2"/>
      <c r="B1039" s="2"/>
      <c r="C1039" s="2"/>
      <c r="D1039" s="2"/>
      <c r="E1039" s="2"/>
      <c r="F1039" s="2"/>
      <c r="G1039" s="2"/>
      <c r="H1039" s="2"/>
      <c r="I1039" s="2"/>
      <c r="J1039" s="2"/>
      <c r="K1039" s="2"/>
      <c r="L1039" s="2"/>
      <c r="M1039" s="2"/>
      <c r="N1039" s="2"/>
      <c r="O1039" s="2"/>
      <c r="P1039" s="2"/>
      <c r="Q1039" s="2"/>
      <c r="R1039" s="2"/>
      <c r="S1039" s="2"/>
      <c r="T1039" s="2"/>
      <c r="U1039" s="2"/>
      <c r="V1039" s="2"/>
      <c r="W1039" s="2"/>
      <c r="X1039" s="2"/>
      <c r="Y1039" s="2"/>
      <c r="Z1039" s="2"/>
    </row>
    <row r="1040" spans="1:26" ht="18.75" customHeight="1" x14ac:dyDescent="0.3">
      <c r="A1040" s="2"/>
      <c r="B1040" s="2"/>
      <c r="C1040" s="2"/>
      <c r="D1040" s="2"/>
      <c r="E1040" s="2"/>
      <c r="F1040" s="2"/>
      <c r="G1040" s="2"/>
      <c r="H1040" s="2"/>
      <c r="I1040" s="2"/>
      <c r="J1040" s="2"/>
      <c r="K1040" s="2"/>
      <c r="L1040" s="2"/>
      <c r="M1040" s="2"/>
      <c r="N1040" s="2"/>
      <c r="O1040" s="2"/>
      <c r="P1040" s="2"/>
      <c r="Q1040" s="2"/>
      <c r="R1040" s="2"/>
      <c r="S1040" s="2"/>
      <c r="T1040" s="2"/>
      <c r="U1040" s="2"/>
      <c r="V1040" s="2"/>
      <c r="W1040" s="2"/>
      <c r="X1040" s="2"/>
      <c r="Y1040" s="2"/>
      <c r="Z1040" s="2"/>
    </row>
    <row r="1041" spans="1:26" ht="18.75" customHeight="1" x14ac:dyDescent="0.3">
      <c r="A1041" s="2"/>
      <c r="B1041" s="2"/>
      <c r="C1041" s="2"/>
      <c r="D1041" s="2"/>
      <c r="E1041" s="2"/>
      <c r="F1041" s="2"/>
      <c r="G1041" s="2"/>
      <c r="H1041" s="2"/>
      <c r="I1041" s="2"/>
      <c r="J1041" s="2"/>
      <c r="K1041" s="2"/>
      <c r="L1041" s="2"/>
      <c r="M1041" s="2"/>
      <c r="N1041" s="2"/>
      <c r="O1041" s="2"/>
      <c r="P1041" s="2"/>
      <c r="Q1041" s="2"/>
      <c r="R1041" s="2"/>
      <c r="S1041" s="2"/>
      <c r="T1041" s="2"/>
      <c r="U1041" s="2"/>
      <c r="V1041" s="2"/>
      <c r="W1041" s="2"/>
      <c r="X1041" s="2"/>
      <c r="Y1041" s="2"/>
      <c r="Z1041" s="2"/>
    </row>
    <row r="1042" spans="1:26" ht="18.75" customHeight="1" x14ac:dyDescent="0.3">
      <c r="A1042" s="2"/>
      <c r="B1042" s="2"/>
      <c r="C1042" s="2"/>
      <c r="D1042" s="2"/>
      <c r="E1042" s="2"/>
      <c r="F1042" s="2"/>
      <c r="G1042" s="2"/>
      <c r="H1042" s="2"/>
      <c r="I1042" s="2"/>
      <c r="J1042" s="2"/>
      <c r="K1042" s="2"/>
      <c r="L1042" s="2"/>
      <c r="M1042" s="2"/>
      <c r="N1042" s="2"/>
      <c r="O1042" s="2"/>
      <c r="P1042" s="2"/>
      <c r="Q1042" s="2"/>
      <c r="R1042" s="2"/>
      <c r="S1042" s="2"/>
      <c r="T1042" s="2"/>
      <c r="U1042" s="2"/>
      <c r="V1042" s="2"/>
      <c r="W1042" s="2"/>
      <c r="X1042" s="2"/>
      <c r="Y1042" s="2"/>
      <c r="Z1042" s="2"/>
    </row>
    <row r="1043" spans="1:26" ht="18.75" customHeight="1" x14ac:dyDescent="0.3">
      <c r="A1043" s="2"/>
      <c r="B1043" s="2"/>
      <c r="C1043" s="2"/>
      <c r="D1043" s="2"/>
      <c r="E1043" s="2"/>
      <c r="F1043" s="2"/>
      <c r="G1043" s="2"/>
      <c r="H1043" s="2"/>
      <c r="I1043" s="2"/>
      <c r="J1043" s="2"/>
      <c r="K1043" s="2"/>
      <c r="L1043" s="2"/>
      <c r="M1043" s="2"/>
      <c r="N1043" s="2"/>
      <c r="O1043" s="2"/>
      <c r="P1043" s="2"/>
      <c r="Q1043" s="2"/>
      <c r="R1043" s="2"/>
      <c r="S1043" s="2"/>
      <c r="T1043" s="2"/>
      <c r="U1043" s="2"/>
      <c r="V1043" s="2"/>
      <c r="W1043" s="2"/>
      <c r="X1043" s="2"/>
      <c r="Y1043" s="2"/>
      <c r="Z1043" s="2"/>
    </row>
    <row r="1044" spans="1:26" ht="18.75" customHeight="1" x14ac:dyDescent="0.3">
      <c r="A1044" s="2"/>
      <c r="B1044" s="2"/>
      <c r="C1044" s="2"/>
      <c r="D1044" s="2"/>
      <c r="E1044" s="2"/>
      <c r="F1044" s="2"/>
      <c r="G1044" s="2"/>
      <c r="H1044" s="2"/>
      <c r="I1044" s="2"/>
      <c r="J1044" s="2"/>
      <c r="K1044" s="2"/>
      <c r="L1044" s="2"/>
      <c r="M1044" s="2"/>
      <c r="N1044" s="2"/>
      <c r="O1044" s="2"/>
      <c r="P1044" s="2"/>
      <c r="Q1044" s="2"/>
      <c r="R1044" s="2"/>
      <c r="S1044" s="2"/>
      <c r="T1044" s="2"/>
      <c r="U1044" s="2"/>
      <c r="V1044" s="2"/>
      <c r="W1044" s="2"/>
      <c r="X1044" s="2"/>
      <c r="Y1044" s="2"/>
      <c r="Z1044" s="2"/>
    </row>
    <row r="1045" spans="1:26" ht="18.75" customHeight="1" x14ac:dyDescent="0.3">
      <c r="A1045" s="2"/>
      <c r="B1045" s="2"/>
      <c r="C1045" s="2"/>
      <c r="D1045" s="2"/>
      <c r="E1045" s="2"/>
      <c r="F1045" s="2"/>
      <c r="G1045" s="2"/>
      <c r="H1045" s="2"/>
      <c r="I1045" s="2"/>
      <c r="J1045" s="2"/>
      <c r="K1045" s="2"/>
      <c r="L1045" s="2"/>
      <c r="M1045" s="2"/>
      <c r="N1045" s="2"/>
      <c r="O1045" s="2"/>
      <c r="P1045" s="2"/>
      <c r="Q1045" s="2"/>
      <c r="R1045" s="2"/>
      <c r="S1045" s="2"/>
      <c r="T1045" s="2"/>
      <c r="U1045" s="2"/>
      <c r="V1045" s="2"/>
      <c r="W1045" s="2"/>
      <c r="X1045" s="2"/>
      <c r="Y1045" s="2"/>
      <c r="Z1045" s="2"/>
    </row>
    <row r="1046" spans="1:26" ht="18.75" customHeight="1" x14ac:dyDescent="0.3">
      <c r="A1046" s="2"/>
      <c r="B1046" s="2"/>
      <c r="C1046" s="2"/>
      <c r="D1046" s="2"/>
      <c r="E1046" s="2"/>
      <c r="F1046" s="2"/>
      <c r="G1046" s="2"/>
      <c r="H1046" s="2"/>
      <c r="I1046" s="2"/>
      <c r="J1046" s="2"/>
      <c r="K1046" s="2"/>
      <c r="L1046" s="2"/>
      <c r="M1046" s="2"/>
      <c r="N1046" s="2"/>
      <c r="O1046" s="2"/>
      <c r="P1046" s="2"/>
      <c r="Q1046" s="2"/>
      <c r="R1046" s="2"/>
      <c r="S1046" s="2"/>
      <c r="T1046" s="2"/>
      <c r="U1046" s="2"/>
      <c r="V1046" s="2"/>
      <c r="W1046" s="2"/>
      <c r="X1046" s="2"/>
      <c r="Y1046" s="2"/>
      <c r="Z1046" s="2"/>
    </row>
    <row r="1047" spans="1:26" ht="18.75" customHeight="1" x14ac:dyDescent="0.3">
      <c r="A1047" s="2"/>
      <c r="B1047" s="2"/>
      <c r="C1047" s="2"/>
      <c r="D1047" s="2"/>
      <c r="E1047" s="2"/>
      <c r="F1047" s="2"/>
      <c r="G1047" s="2"/>
      <c r="H1047" s="2"/>
      <c r="I1047" s="2"/>
      <c r="J1047" s="2"/>
      <c r="K1047" s="2"/>
      <c r="L1047" s="2"/>
      <c r="M1047" s="2"/>
      <c r="N1047" s="2"/>
      <c r="O1047" s="2"/>
      <c r="P1047" s="2"/>
      <c r="Q1047" s="2"/>
      <c r="R1047" s="2"/>
      <c r="S1047" s="2"/>
      <c r="T1047" s="2"/>
      <c r="U1047" s="2"/>
      <c r="V1047" s="2"/>
      <c r="W1047" s="2"/>
      <c r="X1047" s="2"/>
      <c r="Y1047" s="2"/>
      <c r="Z1047" s="2"/>
    </row>
    <row r="1048" spans="1:26" ht="18.75" customHeight="1" x14ac:dyDescent="0.3">
      <c r="A1048" s="2"/>
      <c r="B1048" s="2"/>
      <c r="C1048" s="2"/>
      <c r="D1048" s="2"/>
      <c r="E1048" s="2"/>
      <c r="F1048" s="2"/>
      <c r="G1048" s="2"/>
      <c r="H1048" s="2"/>
      <c r="I1048" s="2"/>
      <c r="J1048" s="2"/>
      <c r="K1048" s="2"/>
      <c r="L1048" s="2"/>
      <c r="M1048" s="2"/>
      <c r="N1048" s="2"/>
      <c r="O1048" s="2"/>
      <c r="P1048" s="2"/>
      <c r="Q1048" s="2"/>
      <c r="R1048" s="2"/>
      <c r="S1048" s="2"/>
      <c r="T1048" s="2"/>
      <c r="U1048" s="2"/>
      <c r="V1048" s="2"/>
      <c r="W1048" s="2"/>
      <c r="X1048" s="2"/>
      <c r="Y1048" s="2"/>
      <c r="Z1048" s="2"/>
    </row>
    <row r="1049" spans="1:26" ht="18.75" customHeight="1" x14ac:dyDescent="0.3">
      <c r="A1049" s="2"/>
      <c r="B1049" s="2"/>
      <c r="C1049" s="2"/>
      <c r="D1049" s="2"/>
      <c r="E1049" s="2"/>
      <c r="F1049" s="2"/>
      <c r="G1049" s="2"/>
      <c r="H1049" s="2"/>
      <c r="I1049" s="2"/>
      <c r="J1049" s="2"/>
      <c r="K1049" s="2"/>
      <c r="L1049" s="2"/>
      <c r="M1049" s="2"/>
      <c r="N1049" s="2"/>
      <c r="O1049" s="2"/>
      <c r="P1049" s="2"/>
      <c r="Q1049" s="2"/>
      <c r="R1049" s="2"/>
      <c r="S1049" s="2"/>
      <c r="T1049" s="2"/>
      <c r="U1049" s="2"/>
      <c r="V1049" s="2"/>
      <c r="W1049" s="2"/>
      <c r="X1049" s="2"/>
      <c r="Y1049" s="2"/>
      <c r="Z1049" s="2"/>
    </row>
    <row r="1050" spans="1:26" ht="18.75" customHeight="1" x14ac:dyDescent="0.3">
      <c r="A1050" s="2"/>
      <c r="B1050" s="2"/>
      <c r="C1050" s="2"/>
      <c r="D1050" s="2"/>
      <c r="E1050" s="2"/>
      <c r="F1050" s="2"/>
      <c r="G1050" s="2"/>
      <c r="H1050" s="2"/>
      <c r="I1050" s="2"/>
      <c r="J1050" s="2"/>
      <c r="K1050" s="2"/>
      <c r="L1050" s="2"/>
      <c r="M1050" s="2"/>
      <c r="N1050" s="2"/>
      <c r="O1050" s="2"/>
      <c r="P1050" s="2"/>
      <c r="Q1050" s="2"/>
      <c r="R1050" s="2"/>
      <c r="S1050" s="2"/>
      <c r="T1050" s="2"/>
      <c r="U1050" s="2"/>
      <c r="V1050" s="2"/>
      <c r="W1050" s="2"/>
      <c r="X1050" s="2"/>
      <c r="Y1050" s="2"/>
      <c r="Z1050" s="2"/>
    </row>
    <row r="1051" spans="1:26" ht="18.75" customHeight="1" x14ac:dyDescent="0.3">
      <c r="A1051" s="2"/>
      <c r="B1051" s="2"/>
      <c r="C1051" s="2"/>
      <c r="D1051" s="2"/>
      <c r="E1051" s="2"/>
      <c r="F1051" s="2"/>
      <c r="G1051" s="2"/>
      <c r="H1051" s="2"/>
      <c r="I1051" s="2"/>
      <c r="J1051" s="2"/>
      <c r="K1051" s="2"/>
      <c r="L1051" s="2"/>
      <c r="M1051" s="2"/>
      <c r="N1051" s="2"/>
      <c r="O1051" s="2"/>
      <c r="P1051" s="2"/>
      <c r="Q1051" s="2"/>
      <c r="R1051" s="2"/>
      <c r="S1051" s="2"/>
      <c r="T1051" s="2"/>
      <c r="U1051" s="2"/>
      <c r="V1051" s="2"/>
      <c r="W1051" s="2"/>
      <c r="X1051" s="2"/>
      <c r="Y1051" s="2"/>
      <c r="Z1051" s="2"/>
    </row>
    <row r="1052" spans="1:26" ht="18.75" customHeight="1" x14ac:dyDescent="0.3">
      <c r="A1052" s="2"/>
      <c r="B1052" s="2"/>
      <c r="C1052" s="2"/>
      <c r="D1052" s="2"/>
      <c r="E1052" s="2"/>
      <c r="F1052" s="2"/>
      <c r="G1052" s="2"/>
      <c r="H1052" s="2"/>
      <c r="I1052" s="2"/>
      <c r="J1052" s="2"/>
      <c r="K1052" s="2"/>
      <c r="L1052" s="2"/>
      <c r="M1052" s="2"/>
      <c r="N1052" s="2"/>
      <c r="O1052" s="2"/>
      <c r="P1052" s="2"/>
      <c r="Q1052" s="2"/>
      <c r="R1052" s="2"/>
      <c r="S1052" s="2"/>
      <c r="T1052" s="2"/>
      <c r="U1052" s="2"/>
      <c r="V1052" s="2"/>
      <c r="W1052" s="2"/>
      <c r="X1052" s="2"/>
      <c r="Y1052" s="2"/>
      <c r="Z1052" s="2"/>
    </row>
    <row r="1053" spans="1:26" ht="18.75" customHeight="1" x14ac:dyDescent="0.3">
      <c r="A1053" s="2"/>
      <c r="B1053" s="2"/>
      <c r="C1053" s="2"/>
      <c r="D1053" s="2"/>
      <c r="E1053" s="2"/>
      <c r="F1053" s="2"/>
      <c r="G1053" s="2"/>
      <c r="H1053" s="2"/>
      <c r="I1053" s="2"/>
      <c r="J1053" s="2"/>
      <c r="K1053" s="2"/>
      <c r="L1053" s="2"/>
      <c r="M1053" s="2"/>
      <c r="N1053" s="2"/>
      <c r="O1053" s="2"/>
      <c r="P1053" s="2"/>
      <c r="Q1053" s="2"/>
      <c r="R1053" s="2"/>
      <c r="S1053" s="2"/>
      <c r="T1053" s="2"/>
      <c r="U1053" s="2"/>
      <c r="V1053" s="2"/>
      <c r="W1053" s="2"/>
      <c r="X1053" s="2"/>
      <c r="Y1053" s="2"/>
      <c r="Z1053" s="2"/>
    </row>
    <row r="1054" spans="1:26" ht="18.75" customHeight="1" x14ac:dyDescent="0.3">
      <c r="A1054" s="2"/>
      <c r="B1054" s="2"/>
      <c r="C1054" s="2"/>
      <c r="D1054" s="2"/>
      <c r="E1054" s="2"/>
      <c r="F1054" s="2"/>
      <c r="G1054" s="2"/>
      <c r="H1054" s="2"/>
      <c r="I1054" s="2"/>
      <c r="J1054" s="2"/>
      <c r="K1054" s="2"/>
      <c r="L1054" s="2"/>
      <c r="M1054" s="2"/>
      <c r="N1054" s="2"/>
      <c r="O1054" s="2"/>
      <c r="P1054" s="2"/>
      <c r="Q1054" s="2"/>
      <c r="R1054" s="2"/>
      <c r="S1054" s="2"/>
      <c r="T1054" s="2"/>
      <c r="U1054" s="2"/>
      <c r="V1054" s="2"/>
      <c r="W1054" s="2"/>
      <c r="X1054" s="2"/>
      <c r="Y1054" s="2"/>
      <c r="Z1054" s="2"/>
    </row>
    <row r="1055" spans="1:26" ht="18.75" customHeight="1" x14ac:dyDescent="0.3">
      <c r="A1055" s="2"/>
      <c r="B1055" s="2"/>
      <c r="C1055" s="2"/>
      <c r="D1055" s="2"/>
      <c r="E1055" s="2"/>
      <c r="F1055" s="2"/>
      <c r="G1055" s="2"/>
      <c r="H1055" s="2"/>
      <c r="I1055" s="2"/>
      <c r="J1055" s="2"/>
      <c r="K1055" s="2"/>
      <c r="L1055" s="2"/>
      <c r="M1055" s="2"/>
      <c r="N1055" s="2"/>
      <c r="O1055" s="2"/>
      <c r="P1055" s="2"/>
      <c r="Q1055" s="2"/>
      <c r="R1055" s="2"/>
      <c r="S1055" s="2"/>
      <c r="T1055" s="2"/>
      <c r="U1055" s="2"/>
      <c r="V1055" s="2"/>
      <c r="W1055" s="2"/>
      <c r="X1055" s="2"/>
      <c r="Y1055" s="2"/>
      <c r="Z1055" s="2"/>
    </row>
    <row r="1056" spans="1:26" ht="18.75" customHeight="1" x14ac:dyDescent="0.3">
      <c r="A1056" s="2"/>
      <c r="B1056" s="2"/>
      <c r="C1056" s="2"/>
      <c r="D1056" s="2"/>
      <c r="E1056" s="2"/>
      <c r="F1056" s="2"/>
      <c r="G1056" s="2"/>
      <c r="H1056" s="2"/>
      <c r="I1056" s="2"/>
      <c r="J1056" s="2"/>
      <c r="K1056" s="2"/>
      <c r="L1056" s="2"/>
      <c r="M1056" s="2"/>
      <c r="N1056" s="2"/>
      <c r="O1056" s="2"/>
      <c r="P1056" s="2"/>
      <c r="Q1056" s="2"/>
      <c r="R1056" s="2"/>
      <c r="S1056" s="2"/>
      <c r="T1056" s="2"/>
      <c r="U1056" s="2"/>
      <c r="V1056" s="2"/>
      <c r="W1056" s="2"/>
      <c r="X1056" s="2"/>
      <c r="Y1056" s="2"/>
      <c r="Z1056" s="2"/>
    </row>
    <row r="1057" spans="1:26" ht="18.75" customHeight="1" x14ac:dyDescent="0.3">
      <c r="A1057" s="2"/>
      <c r="B1057" s="2"/>
      <c r="C1057" s="2"/>
      <c r="D1057" s="2"/>
      <c r="E1057" s="2"/>
      <c r="F1057" s="2"/>
      <c r="G1057" s="2"/>
      <c r="H1057" s="2"/>
      <c r="I1057" s="2"/>
      <c r="J1057" s="2"/>
      <c r="K1057" s="2"/>
      <c r="L1057" s="2"/>
      <c r="M1057" s="2"/>
      <c r="N1057" s="2"/>
      <c r="O1057" s="2"/>
      <c r="P1057" s="2"/>
      <c r="Q1057" s="2"/>
      <c r="R1057" s="2"/>
      <c r="S1057" s="2"/>
      <c r="T1057" s="2"/>
      <c r="U1057" s="2"/>
      <c r="V1057" s="2"/>
      <c r="W1057" s="2"/>
      <c r="X1057" s="2"/>
      <c r="Y1057" s="2"/>
      <c r="Z1057" s="2"/>
    </row>
    <row r="1058" spans="1:26" ht="18.75" customHeight="1" x14ac:dyDescent="0.3">
      <c r="A1058" s="2"/>
      <c r="B1058" s="2"/>
      <c r="C1058" s="2"/>
      <c r="D1058" s="2"/>
      <c r="E1058" s="2"/>
      <c r="F1058" s="2"/>
      <c r="G1058" s="2"/>
      <c r="H1058" s="2"/>
      <c r="I1058" s="2"/>
      <c r="J1058" s="2"/>
      <c r="K1058" s="2"/>
      <c r="L1058" s="2"/>
      <c r="M1058" s="2"/>
      <c r="N1058" s="2"/>
      <c r="O1058" s="2"/>
      <c r="P1058" s="2"/>
      <c r="Q1058" s="2"/>
      <c r="R1058" s="2"/>
      <c r="S1058" s="2"/>
      <c r="T1058" s="2"/>
      <c r="U1058" s="2"/>
      <c r="V1058" s="2"/>
      <c r="W1058" s="2"/>
      <c r="X1058" s="2"/>
      <c r="Y1058" s="2"/>
      <c r="Z1058" s="2"/>
    </row>
    <row r="1059" spans="1:26" ht="18.75" customHeight="1" x14ac:dyDescent="0.3">
      <c r="A1059" s="2"/>
      <c r="B1059" s="2"/>
      <c r="C1059" s="2"/>
      <c r="D1059" s="2"/>
      <c r="E1059" s="2"/>
      <c r="F1059" s="2"/>
      <c r="G1059" s="2"/>
      <c r="H1059" s="2"/>
      <c r="I1059" s="2"/>
      <c r="J1059" s="2"/>
      <c r="K1059" s="2"/>
      <c r="L1059" s="2"/>
      <c r="M1059" s="2"/>
      <c r="N1059" s="2"/>
      <c r="O1059" s="2"/>
      <c r="P1059" s="2"/>
      <c r="Q1059" s="2"/>
      <c r="R1059" s="2"/>
      <c r="S1059" s="2"/>
      <c r="T1059" s="2"/>
      <c r="U1059" s="2"/>
      <c r="V1059" s="2"/>
      <c r="W1059" s="2"/>
      <c r="X1059" s="2"/>
      <c r="Y1059" s="2"/>
      <c r="Z1059" s="2"/>
    </row>
    <row r="1060" spans="1:26" ht="18.75" customHeight="1" x14ac:dyDescent="0.3">
      <c r="A1060" s="2"/>
      <c r="B1060" s="2"/>
      <c r="C1060" s="2"/>
      <c r="D1060" s="2"/>
      <c r="E1060" s="2"/>
      <c r="F1060" s="2"/>
      <c r="G1060" s="2"/>
      <c r="H1060" s="2"/>
      <c r="I1060" s="2"/>
      <c r="J1060" s="2"/>
      <c r="K1060" s="2"/>
      <c r="L1060" s="2"/>
      <c r="M1060" s="2"/>
      <c r="N1060" s="2"/>
      <c r="O1060" s="2"/>
      <c r="P1060" s="2"/>
      <c r="Q1060" s="2"/>
      <c r="R1060" s="2"/>
      <c r="S1060" s="2"/>
      <c r="T1060" s="2"/>
      <c r="U1060" s="2"/>
      <c r="V1060" s="2"/>
      <c r="W1060" s="2"/>
      <c r="X1060" s="2"/>
      <c r="Y1060" s="2"/>
      <c r="Z1060" s="2"/>
    </row>
    <row r="1061" spans="1:26" ht="18.75" customHeight="1" x14ac:dyDescent="0.3">
      <c r="A1061" s="2"/>
      <c r="B1061" s="2"/>
      <c r="C1061" s="2"/>
      <c r="D1061" s="2"/>
      <c r="E1061" s="2"/>
      <c r="F1061" s="2"/>
      <c r="G1061" s="2"/>
      <c r="H1061" s="2"/>
      <c r="I1061" s="2"/>
      <c r="J1061" s="2"/>
      <c r="K1061" s="2"/>
      <c r="L1061" s="2"/>
      <c r="M1061" s="2"/>
      <c r="N1061" s="2"/>
      <c r="O1061" s="2"/>
      <c r="P1061" s="2"/>
      <c r="Q1061" s="2"/>
      <c r="R1061" s="2"/>
      <c r="S1061" s="2"/>
      <c r="T1061" s="2"/>
      <c r="U1061" s="2"/>
      <c r="V1061" s="2"/>
      <c r="W1061" s="2"/>
      <c r="X1061" s="2"/>
      <c r="Y1061" s="2"/>
      <c r="Z1061" s="2"/>
    </row>
    <row r="1062" spans="1:26" ht="18.75" customHeight="1" x14ac:dyDescent="0.3">
      <c r="A1062" s="2"/>
      <c r="B1062" s="2"/>
      <c r="C1062" s="2"/>
      <c r="D1062" s="2"/>
      <c r="E1062" s="2"/>
      <c r="F1062" s="2"/>
      <c r="G1062" s="2"/>
      <c r="H1062" s="2"/>
      <c r="I1062" s="2"/>
      <c r="J1062" s="2"/>
      <c r="K1062" s="2"/>
      <c r="L1062" s="2"/>
      <c r="M1062" s="2"/>
      <c r="N1062" s="2"/>
      <c r="O1062" s="2"/>
      <c r="P1062" s="2"/>
      <c r="Q1062" s="2"/>
      <c r="R1062" s="2"/>
      <c r="S1062" s="2"/>
      <c r="T1062" s="2"/>
      <c r="U1062" s="2"/>
      <c r="V1062" s="2"/>
      <c r="W1062" s="2"/>
      <c r="X1062" s="2"/>
      <c r="Y1062" s="2"/>
      <c r="Z1062" s="2"/>
    </row>
    <row r="1063" spans="1:26" ht="18.75" customHeight="1" x14ac:dyDescent="0.3">
      <c r="A1063" s="2"/>
      <c r="B1063" s="2"/>
      <c r="C1063" s="2"/>
      <c r="D1063" s="2"/>
      <c r="E1063" s="2"/>
      <c r="F1063" s="2"/>
      <c r="G1063" s="2"/>
      <c r="H1063" s="2"/>
      <c r="I1063" s="2"/>
      <c r="J1063" s="2"/>
      <c r="K1063" s="2"/>
      <c r="L1063" s="2"/>
      <c r="M1063" s="2"/>
      <c r="N1063" s="2"/>
      <c r="O1063" s="2"/>
      <c r="P1063" s="2"/>
      <c r="Q1063" s="2"/>
      <c r="R1063" s="2"/>
      <c r="S1063" s="2"/>
      <c r="T1063" s="2"/>
      <c r="U1063" s="2"/>
      <c r="V1063" s="2"/>
      <c r="W1063" s="2"/>
      <c r="X1063" s="2"/>
      <c r="Y1063" s="2"/>
      <c r="Z1063" s="2"/>
    </row>
    <row r="1064" spans="1:26" ht="18.75" customHeight="1" x14ac:dyDescent="0.3">
      <c r="A1064" s="2"/>
      <c r="B1064" s="2"/>
      <c r="C1064" s="2"/>
      <c r="D1064" s="2"/>
      <c r="E1064" s="2"/>
      <c r="F1064" s="2"/>
      <c r="G1064" s="2"/>
      <c r="H1064" s="2"/>
      <c r="I1064" s="2"/>
      <c r="J1064" s="2"/>
      <c r="K1064" s="2"/>
      <c r="L1064" s="2"/>
      <c r="M1064" s="2"/>
      <c r="N1064" s="2"/>
      <c r="O1064" s="2"/>
      <c r="P1064" s="2"/>
      <c r="Q1064" s="2"/>
      <c r="R1064" s="2"/>
      <c r="S1064" s="2"/>
      <c r="T1064" s="2"/>
      <c r="U1064" s="2"/>
      <c r="V1064" s="2"/>
      <c r="W1064" s="2"/>
      <c r="X1064" s="2"/>
      <c r="Y1064" s="2"/>
      <c r="Z1064" s="2"/>
    </row>
    <row r="1065" spans="1:26" ht="18.75" customHeight="1" x14ac:dyDescent="0.3">
      <c r="A1065" s="2"/>
      <c r="B1065" s="2"/>
      <c r="C1065" s="2"/>
      <c r="D1065" s="2"/>
      <c r="E1065" s="2"/>
      <c r="F1065" s="2"/>
      <c r="G1065" s="2"/>
      <c r="H1065" s="2"/>
      <c r="I1065" s="2"/>
      <c r="J1065" s="2"/>
      <c r="K1065" s="2"/>
      <c r="L1065" s="2"/>
      <c r="M1065" s="2"/>
      <c r="N1065" s="2"/>
      <c r="O1065" s="2"/>
      <c r="P1065" s="2"/>
      <c r="Q1065" s="2"/>
      <c r="R1065" s="2"/>
      <c r="S1065" s="2"/>
      <c r="T1065" s="2"/>
      <c r="U1065" s="2"/>
      <c r="V1065" s="2"/>
      <c r="W1065" s="2"/>
      <c r="X1065" s="2"/>
      <c r="Y1065" s="2"/>
      <c r="Z1065" s="2"/>
    </row>
    <row r="1066" spans="1:26" ht="18.75" customHeight="1" x14ac:dyDescent="0.3">
      <c r="A1066" s="2"/>
      <c r="B1066" s="2"/>
      <c r="C1066" s="2"/>
      <c r="D1066" s="2"/>
      <c r="E1066" s="2"/>
      <c r="F1066" s="2"/>
      <c r="G1066" s="2"/>
      <c r="H1066" s="2"/>
      <c r="I1066" s="2"/>
      <c r="J1066" s="2"/>
      <c r="K1066" s="2"/>
      <c r="L1066" s="2"/>
      <c r="M1066" s="2"/>
      <c r="N1066" s="2"/>
      <c r="O1066" s="2"/>
      <c r="P1066" s="2"/>
      <c r="Q1066" s="2"/>
      <c r="R1066" s="2"/>
      <c r="S1066" s="2"/>
      <c r="T1066" s="2"/>
      <c r="U1066" s="2"/>
      <c r="V1066" s="2"/>
      <c r="W1066" s="2"/>
      <c r="X1066" s="2"/>
      <c r="Y1066" s="2"/>
      <c r="Z1066" s="2"/>
    </row>
    <row r="1067" spans="1:26" ht="18.75" customHeight="1" x14ac:dyDescent="0.3">
      <c r="A1067" s="2"/>
      <c r="B1067" s="2"/>
      <c r="C1067" s="2"/>
      <c r="D1067" s="2"/>
      <c r="E1067" s="2"/>
      <c r="F1067" s="2"/>
      <c r="G1067" s="2"/>
      <c r="H1067" s="2"/>
      <c r="I1067" s="2"/>
      <c r="J1067" s="2"/>
      <c r="K1067" s="2"/>
      <c r="L1067" s="2"/>
      <c r="M1067" s="2"/>
      <c r="N1067" s="2"/>
      <c r="O1067" s="2"/>
      <c r="P1067" s="2"/>
      <c r="Q1067" s="2"/>
      <c r="R1067" s="2"/>
      <c r="S1067" s="2"/>
      <c r="T1067" s="2"/>
      <c r="U1067" s="2"/>
      <c r="V1067" s="2"/>
      <c r="W1067" s="2"/>
      <c r="X1067" s="2"/>
      <c r="Y1067" s="2"/>
      <c r="Z1067" s="2"/>
    </row>
    <row r="1068" spans="1:26" ht="18.75" customHeight="1" x14ac:dyDescent="0.3">
      <c r="A1068" s="2"/>
      <c r="B1068" s="2"/>
      <c r="C1068" s="2"/>
      <c r="D1068" s="2"/>
      <c r="E1068" s="2"/>
      <c r="F1068" s="2"/>
      <c r="G1068" s="2"/>
      <c r="H1068" s="2"/>
      <c r="I1068" s="2"/>
      <c r="J1068" s="2"/>
      <c r="K1068" s="2"/>
      <c r="L1068" s="2"/>
      <c r="M1068" s="2"/>
      <c r="N1068" s="2"/>
      <c r="O1068" s="2"/>
      <c r="P1068" s="2"/>
      <c r="Q1068" s="2"/>
      <c r="R1068" s="2"/>
      <c r="S1068" s="2"/>
      <c r="T1068" s="2"/>
      <c r="U1068" s="2"/>
      <c r="V1068" s="2"/>
      <c r="W1068" s="2"/>
      <c r="X1068" s="2"/>
      <c r="Y1068" s="2"/>
      <c r="Z1068" s="2"/>
    </row>
    <row r="1069" spans="1:26" ht="18.75" customHeight="1" x14ac:dyDescent="0.3">
      <c r="A1069" s="2"/>
      <c r="B1069" s="2"/>
      <c r="C1069" s="2"/>
      <c r="D1069" s="2"/>
      <c r="E1069" s="2"/>
      <c r="F1069" s="2"/>
      <c r="G1069" s="2"/>
      <c r="H1069" s="2"/>
      <c r="I1069" s="2"/>
      <c r="J1069" s="2"/>
      <c r="K1069" s="2"/>
      <c r="L1069" s="2"/>
      <c r="M1069" s="2"/>
      <c r="N1069" s="2"/>
      <c r="O1069" s="2"/>
      <c r="P1069" s="2"/>
      <c r="Q1069" s="2"/>
      <c r="R1069" s="2"/>
      <c r="S1069" s="2"/>
      <c r="T1069" s="2"/>
      <c r="U1069" s="2"/>
      <c r="V1069" s="2"/>
      <c r="W1069" s="2"/>
      <c r="X1069" s="2"/>
      <c r="Y1069" s="2"/>
      <c r="Z1069" s="2"/>
    </row>
    <row r="1070" spans="1:26" ht="18.75" customHeight="1" x14ac:dyDescent="0.3">
      <c r="A1070" s="2"/>
      <c r="B1070" s="2"/>
      <c r="C1070" s="2"/>
      <c r="D1070" s="2"/>
      <c r="E1070" s="2"/>
      <c r="F1070" s="2"/>
      <c r="G1070" s="2"/>
      <c r="H1070" s="2"/>
      <c r="I1070" s="2"/>
      <c r="J1070" s="2"/>
      <c r="K1070" s="2"/>
      <c r="L1070" s="2"/>
      <c r="M1070" s="2"/>
      <c r="N1070" s="2"/>
      <c r="O1070" s="2"/>
      <c r="P1070" s="2"/>
      <c r="Q1070" s="2"/>
      <c r="R1070" s="2"/>
      <c r="S1070" s="2"/>
      <c r="T1070" s="2"/>
      <c r="U1070" s="2"/>
      <c r="V1070" s="2"/>
      <c r="W1070" s="2"/>
      <c r="X1070" s="2"/>
      <c r="Y1070" s="2"/>
      <c r="Z1070" s="2"/>
    </row>
    <row r="1071" spans="1:26" ht="18.75" customHeight="1" x14ac:dyDescent="0.3">
      <c r="A1071" s="2"/>
      <c r="B1071" s="2"/>
      <c r="C1071" s="2"/>
      <c r="D1071" s="2"/>
      <c r="E1071" s="2"/>
      <c r="F1071" s="2"/>
      <c r="G1071" s="2"/>
      <c r="H1071" s="2"/>
      <c r="I1071" s="2"/>
      <c r="J1071" s="2"/>
      <c r="K1071" s="2"/>
      <c r="L1071" s="2"/>
      <c r="M1071" s="2"/>
      <c r="N1071" s="2"/>
      <c r="O1071" s="2"/>
      <c r="P1071" s="2"/>
      <c r="Q1071" s="2"/>
      <c r="R1071" s="2"/>
      <c r="S1071" s="2"/>
      <c r="T1071" s="2"/>
      <c r="U1071" s="2"/>
      <c r="V1071" s="2"/>
      <c r="W1071" s="2"/>
      <c r="X1071" s="2"/>
      <c r="Y1071" s="2"/>
      <c r="Z1071" s="2"/>
    </row>
    <row r="1072" spans="1:26" ht="18.75" customHeight="1" x14ac:dyDescent="0.3">
      <c r="A1072" s="2"/>
      <c r="B1072" s="2"/>
      <c r="C1072" s="2"/>
      <c r="D1072" s="2"/>
      <c r="E1072" s="2"/>
      <c r="F1072" s="2"/>
      <c r="G1072" s="2"/>
      <c r="H1072" s="2"/>
      <c r="I1072" s="2"/>
      <c r="J1072" s="2"/>
      <c r="K1072" s="2"/>
      <c r="L1072" s="2"/>
      <c r="M1072" s="2"/>
      <c r="N1072" s="2"/>
      <c r="O1072" s="2"/>
      <c r="P1072" s="2"/>
      <c r="Q1072" s="2"/>
      <c r="R1072" s="2"/>
      <c r="S1072" s="2"/>
      <c r="T1072" s="2"/>
      <c r="U1072" s="2"/>
      <c r="V1072" s="2"/>
      <c r="W1072" s="2"/>
      <c r="X1072" s="2"/>
      <c r="Y1072" s="2"/>
      <c r="Z1072" s="2"/>
    </row>
    <row r="1073" spans="1:26" ht="18.75" customHeight="1" x14ac:dyDescent="0.3">
      <c r="A1073" s="2"/>
      <c r="B1073" s="2"/>
      <c r="C1073" s="2"/>
      <c r="D1073" s="2"/>
      <c r="E1073" s="2"/>
      <c r="F1073" s="2"/>
      <c r="G1073" s="2"/>
      <c r="H1073" s="2"/>
      <c r="I1073" s="2"/>
      <c r="J1073" s="2"/>
      <c r="K1073" s="2"/>
      <c r="L1073" s="2"/>
      <c r="M1073" s="2"/>
      <c r="N1073" s="2"/>
      <c r="O1073" s="2"/>
      <c r="P1073" s="2"/>
      <c r="Q1073" s="2"/>
      <c r="R1073" s="2"/>
      <c r="S1073" s="2"/>
      <c r="T1073" s="2"/>
      <c r="U1073" s="2"/>
      <c r="V1073" s="2"/>
      <c r="W1073" s="2"/>
      <c r="X1073" s="2"/>
      <c r="Y1073" s="2"/>
      <c r="Z1073" s="2"/>
    </row>
    <row r="1074" spans="1:26" ht="18.75" customHeight="1" x14ac:dyDescent="0.3">
      <c r="A1074" s="2"/>
      <c r="B1074" s="2"/>
      <c r="C1074" s="2"/>
      <c r="D1074" s="2"/>
      <c r="E1074" s="2"/>
      <c r="F1074" s="2"/>
      <c r="G1074" s="2"/>
      <c r="H1074" s="2"/>
      <c r="I1074" s="2"/>
      <c r="J1074" s="2"/>
      <c r="K1074" s="2"/>
      <c r="L1074" s="2"/>
      <c r="M1074" s="2"/>
      <c r="N1074" s="2"/>
      <c r="O1074" s="2"/>
      <c r="P1074" s="2"/>
      <c r="Q1074" s="2"/>
      <c r="R1074" s="2"/>
      <c r="S1074" s="2"/>
      <c r="T1074" s="2"/>
      <c r="U1074" s="2"/>
      <c r="V1074" s="2"/>
      <c r="W1074" s="2"/>
      <c r="X1074" s="2"/>
      <c r="Y1074" s="2"/>
      <c r="Z1074" s="2"/>
    </row>
    <row r="1075" spans="1:26" ht="18.75" customHeight="1" x14ac:dyDescent="0.3">
      <c r="A1075" s="2"/>
      <c r="B1075" s="2"/>
      <c r="C1075" s="2"/>
      <c r="D1075" s="2"/>
      <c r="E1075" s="2"/>
      <c r="F1075" s="2"/>
      <c r="G1075" s="2"/>
      <c r="H1075" s="2"/>
      <c r="I1075" s="2"/>
      <c r="J1075" s="2"/>
      <c r="K1075" s="2"/>
      <c r="L1075" s="2"/>
      <c r="M1075" s="2"/>
      <c r="N1075" s="2"/>
      <c r="O1075" s="2"/>
      <c r="P1075" s="2"/>
      <c r="Q1075" s="2"/>
      <c r="R1075" s="2"/>
      <c r="S1075" s="2"/>
      <c r="T1075" s="2"/>
      <c r="U1075" s="2"/>
      <c r="V1075" s="2"/>
      <c r="W1075" s="2"/>
      <c r="X1075" s="2"/>
      <c r="Y1075" s="2"/>
      <c r="Z1075" s="2"/>
    </row>
    <row r="1076" spans="1:26" ht="18.75" customHeight="1" x14ac:dyDescent="0.3">
      <c r="A1076" s="2"/>
      <c r="B1076" s="2"/>
      <c r="C1076" s="2"/>
      <c r="D1076" s="2"/>
      <c r="E1076" s="2"/>
      <c r="F1076" s="2"/>
      <c r="G1076" s="2"/>
      <c r="H1076" s="2"/>
      <c r="I1076" s="2"/>
      <c r="J1076" s="2"/>
      <c r="K1076" s="2"/>
      <c r="L1076" s="2"/>
      <c r="M1076" s="2"/>
      <c r="N1076" s="2"/>
      <c r="O1076" s="2"/>
      <c r="P1076" s="2"/>
      <c r="Q1076" s="2"/>
      <c r="R1076" s="2"/>
      <c r="S1076" s="2"/>
      <c r="T1076" s="2"/>
      <c r="U1076" s="2"/>
      <c r="V1076" s="2"/>
      <c r="W1076" s="2"/>
      <c r="X1076" s="2"/>
      <c r="Y1076" s="2"/>
      <c r="Z1076" s="2"/>
    </row>
    <row r="1077" spans="1:26" ht="18.75" customHeight="1" x14ac:dyDescent="0.3">
      <c r="A1077" s="2"/>
      <c r="B1077" s="2"/>
      <c r="C1077" s="2"/>
      <c r="D1077" s="2"/>
      <c r="E1077" s="2"/>
      <c r="F1077" s="2"/>
      <c r="G1077" s="2"/>
      <c r="H1077" s="2"/>
      <c r="I1077" s="2"/>
      <c r="J1077" s="2"/>
      <c r="K1077" s="2"/>
      <c r="L1077" s="2"/>
      <c r="M1077" s="2"/>
      <c r="N1077" s="2"/>
      <c r="O1077" s="2"/>
      <c r="P1077" s="2"/>
      <c r="Q1077" s="2"/>
      <c r="R1077" s="2"/>
      <c r="S1077" s="2"/>
      <c r="T1077" s="2"/>
      <c r="U1077" s="2"/>
      <c r="V1077" s="2"/>
      <c r="W1077" s="2"/>
      <c r="X1077" s="2"/>
      <c r="Y1077" s="2"/>
      <c r="Z1077" s="2"/>
    </row>
    <row r="1078" spans="1:26" ht="18.75" customHeight="1" x14ac:dyDescent="0.3">
      <c r="A1078" s="2"/>
      <c r="B1078" s="2"/>
      <c r="C1078" s="2"/>
      <c r="D1078" s="2"/>
      <c r="E1078" s="2"/>
      <c r="F1078" s="2"/>
      <c r="G1078" s="2"/>
      <c r="H1078" s="2"/>
      <c r="I1078" s="2"/>
      <c r="J1078" s="2"/>
      <c r="K1078" s="2"/>
      <c r="L1078" s="2"/>
      <c r="M1078" s="2"/>
      <c r="N1078" s="2"/>
      <c r="O1078" s="2"/>
      <c r="P1078" s="2"/>
      <c r="Q1078" s="2"/>
      <c r="R1078" s="2"/>
      <c r="S1078" s="2"/>
      <c r="T1078" s="2"/>
      <c r="U1078" s="2"/>
      <c r="V1078" s="2"/>
      <c r="W1078" s="2"/>
      <c r="X1078" s="2"/>
      <c r="Y1078" s="2"/>
      <c r="Z1078" s="2"/>
    </row>
    <row r="1079" spans="1:26" ht="18.75" customHeight="1" x14ac:dyDescent="0.3">
      <c r="A1079" s="2"/>
      <c r="B1079" s="2"/>
      <c r="C1079" s="2"/>
      <c r="D1079" s="2"/>
      <c r="E1079" s="2"/>
      <c r="F1079" s="2"/>
      <c r="G1079" s="2"/>
      <c r="H1079" s="2"/>
      <c r="I1079" s="2"/>
      <c r="J1079" s="2"/>
      <c r="K1079" s="2"/>
      <c r="L1079" s="2"/>
      <c r="M1079" s="2"/>
      <c r="N1079" s="2"/>
      <c r="O1079" s="2"/>
      <c r="P1079" s="2"/>
      <c r="Q1079" s="2"/>
      <c r="R1079" s="2"/>
      <c r="S1079" s="2"/>
      <c r="T1079" s="2"/>
      <c r="U1079" s="2"/>
      <c r="V1079" s="2"/>
      <c r="W1079" s="2"/>
      <c r="X1079" s="2"/>
      <c r="Y1079" s="2"/>
      <c r="Z1079" s="2"/>
    </row>
    <row r="1080" spans="1:26" ht="18.75" customHeight="1" x14ac:dyDescent="0.3">
      <c r="A1080" s="2"/>
      <c r="B1080" s="2"/>
      <c r="C1080" s="2"/>
      <c r="D1080" s="2"/>
      <c r="E1080" s="2"/>
      <c r="F1080" s="2"/>
      <c r="G1080" s="2"/>
      <c r="H1080" s="2"/>
      <c r="I1080" s="2"/>
      <c r="J1080" s="2"/>
      <c r="K1080" s="2"/>
      <c r="L1080" s="2"/>
      <c r="M1080" s="2"/>
      <c r="N1080" s="2"/>
      <c r="O1080" s="2"/>
      <c r="P1080" s="2"/>
      <c r="Q1080" s="2"/>
      <c r="R1080" s="2"/>
      <c r="S1080" s="2"/>
      <c r="T1080" s="2"/>
      <c r="U1080" s="2"/>
      <c r="V1080" s="2"/>
      <c r="W1080" s="2"/>
      <c r="X1080" s="2"/>
      <c r="Y1080" s="2"/>
      <c r="Z1080" s="2"/>
    </row>
    <row r="1081" spans="1:26" ht="18.75" customHeight="1" x14ac:dyDescent="0.3">
      <c r="A1081" s="2"/>
      <c r="B1081" s="2"/>
      <c r="C1081" s="2"/>
      <c r="D1081" s="2"/>
      <c r="E1081" s="2"/>
      <c r="F1081" s="2"/>
      <c r="G1081" s="2"/>
      <c r="H1081" s="2"/>
      <c r="I1081" s="2"/>
      <c r="J1081" s="2"/>
      <c r="K1081" s="2"/>
      <c r="L1081" s="2"/>
      <c r="M1081" s="2"/>
      <c r="N1081" s="2"/>
      <c r="O1081" s="2"/>
      <c r="P1081" s="2"/>
      <c r="Q1081" s="2"/>
      <c r="R1081" s="2"/>
      <c r="S1081" s="2"/>
      <c r="T1081" s="2"/>
      <c r="U1081" s="2"/>
      <c r="V1081" s="2"/>
      <c r="W1081" s="2"/>
      <c r="X1081" s="2"/>
      <c r="Y1081" s="2"/>
      <c r="Z1081" s="2"/>
    </row>
    <row r="1082" spans="1:26" ht="18.75" customHeight="1" x14ac:dyDescent="0.3">
      <c r="A1082" s="2"/>
      <c r="B1082" s="2"/>
      <c r="C1082" s="2"/>
      <c r="D1082" s="2"/>
      <c r="E1082" s="2"/>
      <c r="F1082" s="2"/>
      <c r="G1082" s="2"/>
      <c r="H1082" s="2"/>
      <c r="I1082" s="2"/>
      <c r="J1082" s="2"/>
      <c r="K1082" s="2"/>
      <c r="L1082" s="2"/>
      <c r="M1082" s="2"/>
      <c r="N1082" s="2"/>
      <c r="O1082" s="2"/>
      <c r="P1082" s="2"/>
      <c r="Q1082" s="2"/>
      <c r="R1082" s="2"/>
      <c r="S1082" s="2"/>
      <c r="T1082" s="2"/>
      <c r="U1082" s="2"/>
      <c r="V1082" s="2"/>
      <c r="W1082" s="2"/>
      <c r="X1082" s="2"/>
      <c r="Y1082" s="2"/>
      <c r="Z1082" s="2"/>
    </row>
  </sheetData>
  <sheetProtection algorithmName="SHA-512" hashValue="L+azqOU44Sna2RUCmUJrry+vJ0CQab7LjDeRKSM/pNqq3azjZQg8nUPuYpySmFZOKVToQNeBWR1ig+/q0vrRVA==" saltValue="HbhmSfPP3pUaCupI1KccBw==" spinCount="100000" sheet="1" objects="1" scenarios="1"/>
  <pageMargins left="0.7" right="0.7" top="0.75" bottom="0.75" header="0.3" footer="0.3"/>
  <pageSetup scale="62"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AA5767-A4D8-408C-9916-FE7BCACAA69E}">
  <sheetPr>
    <tabColor rgb="FF66FFFF"/>
  </sheetPr>
  <dimension ref="A5"/>
  <sheetViews>
    <sheetView topLeftCell="A25" workbookViewId="0">
      <selection activeCell="K114" sqref="K114"/>
    </sheetView>
  </sheetViews>
  <sheetFormatPr defaultRowHeight="15" x14ac:dyDescent="0.25"/>
  <sheetData>
    <row r="5" spans="1:1" x14ac:dyDescent="0.25">
      <c r="A5" s="217" t="s">
        <v>355</v>
      </c>
    </row>
  </sheetData>
  <sheetProtection algorithmName="SHA-512" hashValue="uYN7nAMNgZ8CRcLj7Pa92tkIR+GVjlA14z7ouiMToqndYQPh+qhgVtZzpltWFFzH1rNwNYX1PCUh7FxiDwvyfQ==" saltValue="jkwOWrWaGuKXoJhgLn4AZw==" spinCount="100000" sheet="1" objects="1" scenarios="1"/>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BFDE4A-EC04-464E-A986-611DE1E61EFD}">
  <sheetPr>
    <tabColor rgb="FFFFFFCC"/>
    <pageSetUpPr fitToPage="1"/>
  </sheetPr>
  <dimension ref="A5:S95"/>
  <sheetViews>
    <sheetView zoomScaleNormal="100" workbookViewId="0">
      <selection activeCell="L8" sqref="L8"/>
    </sheetView>
  </sheetViews>
  <sheetFormatPr defaultRowHeight="15.75" x14ac:dyDescent="0.25"/>
  <cols>
    <col min="1" max="1" width="3.5703125" style="207" customWidth="1"/>
    <col min="2" max="2" width="30.5703125" style="207" customWidth="1"/>
    <col min="3" max="3" width="14.85546875" style="207" customWidth="1"/>
    <col min="4" max="4" width="6.85546875" style="207" customWidth="1"/>
    <col min="5" max="5" width="14" style="207" customWidth="1"/>
    <col min="6" max="6" width="6.7109375" style="207" customWidth="1"/>
    <col min="7" max="7" width="12.85546875" style="207" customWidth="1"/>
    <col min="8" max="8" width="6.5703125" style="207" customWidth="1"/>
    <col min="9" max="9" width="12.42578125" style="207" customWidth="1"/>
    <col min="10" max="10" width="14.5703125" style="207" customWidth="1"/>
    <col min="11" max="11" width="11.5703125" style="207" bestFit="1" customWidth="1"/>
    <col min="12" max="12" width="11.5703125" style="207" customWidth="1"/>
    <col min="13" max="13" width="11.42578125" style="207" customWidth="1"/>
    <col min="14" max="14" width="10" style="207" customWidth="1"/>
    <col min="15" max="19" width="10.7109375" style="207" bestFit="1" customWidth="1"/>
    <col min="20" max="16384" width="9.140625" style="207"/>
  </cols>
  <sheetData>
    <row r="5" spans="1:10" s="218" customFormat="1" ht="18.75" customHeight="1" x14ac:dyDescent="0.2">
      <c r="A5" s="217" t="s">
        <v>200</v>
      </c>
    </row>
    <row r="6" spans="1:10" s="218" customFormat="1" ht="14.25" customHeight="1" x14ac:dyDescent="0.2">
      <c r="C6" s="218" t="s">
        <v>201</v>
      </c>
    </row>
    <row r="7" spans="1:10" s="218" customFormat="1" ht="12.75" x14ac:dyDescent="0.2">
      <c r="A7" s="217" t="s">
        <v>202</v>
      </c>
      <c r="C7" s="340"/>
      <c r="D7" s="341"/>
      <c r="E7" s="342"/>
    </row>
    <row r="8" spans="1:10" s="218" customFormat="1" ht="12.75" x14ac:dyDescent="0.2">
      <c r="A8" s="219" t="s">
        <v>203</v>
      </c>
      <c r="B8" s="220"/>
      <c r="C8" s="220"/>
      <c r="D8" s="220"/>
      <c r="E8" s="220"/>
      <c r="F8" s="220"/>
      <c r="G8" s="220"/>
      <c r="H8" s="220"/>
      <c r="I8" s="220"/>
      <c r="J8" s="220"/>
    </row>
    <row r="9" spans="1:10" s="218" customFormat="1" ht="12.75" x14ac:dyDescent="0.2">
      <c r="E9" s="217" t="s">
        <v>204</v>
      </c>
      <c r="G9" s="343">
        <v>44805</v>
      </c>
    </row>
    <row r="10" spans="1:10" s="221" customFormat="1" ht="25.5" x14ac:dyDescent="0.2">
      <c r="B10" s="222" t="s">
        <v>205</v>
      </c>
      <c r="C10" s="222"/>
      <c r="D10" s="222"/>
      <c r="E10" s="223" t="s">
        <v>206</v>
      </c>
      <c r="F10" s="222"/>
      <c r="G10" s="223" t="s">
        <v>207</v>
      </c>
      <c r="H10" s="222"/>
      <c r="I10" s="223" t="s">
        <v>208</v>
      </c>
      <c r="J10" s="222" t="s">
        <v>209</v>
      </c>
    </row>
    <row r="11" spans="1:10" s="217" customFormat="1" ht="12.75" x14ac:dyDescent="0.2">
      <c r="B11" s="217" t="s">
        <v>210</v>
      </c>
      <c r="C11" s="344">
        <v>150</v>
      </c>
      <c r="D11" s="217" t="s">
        <v>211</v>
      </c>
      <c r="E11" s="345">
        <v>2.2200000000000002</v>
      </c>
      <c r="F11" s="217" t="s">
        <v>212</v>
      </c>
      <c r="G11" s="224">
        <f>C11*E11</f>
        <v>333.00000000000006</v>
      </c>
      <c r="I11" s="273">
        <f>I19</f>
        <v>75</v>
      </c>
      <c r="J11" s="224">
        <f>I11*G11</f>
        <v>24975.000000000004</v>
      </c>
    </row>
    <row r="12" spans="1:10" s="218" customFormat="1" ht="12.75" x14ac:dyDescent="0.2">
      <c r="B12" s="217" t="s">
        <v>213</v>
      </c>
      <c r="C12" s="344">
        <v>3</v>
      </c>
      <c r="D12" s="217" t="s">
        <v>211</v>
      </c>
      <c r="E12" s="345">
        <v>0.03</v>
      </c>
      <c r="F12" s="217" t="s">
        <v>212</v>
      </c>
      <c r="G12" s="224">
        <f>C12*E12</f>
        <v>0.09</v>
      </c>
      <c r="J12" s="224">
        <f>G12*I11</f>
        <v>6.75</v>
      </c>
    </row>
    <row r="13" spans="1:10" s="218" customFormat="1" ht="12.75" x14ac:dyDescent="0.2">
      <c r="B13" s="217" t="s">
        <v>214</v>
      </c>
      <c r="C13" s="217"/>
      <c r="D13" s="217"/>
      <c r="E13" s="302"/>
      <c r="F13" s="217"/>
      <c r="G13" s="345"/>
      <c r="J13" s="224">
        <f>G13*I11</f>
        <v>0</v>
      </c>
    </row>
    <row r="14" spans="1:10" s="218" customFormat="1" ht="12.75" x14ac:dyDescent="0.2">
      <c r="B14" s="217" t="s">
        <v>215</v>
      </c>
      <c r="C14" s="217"/>
      <c r="D14" s="217"/>
      <c r="E14" s="302"/>
      <c r="F14" s="217"/>
      <c r="G14" s="224">
        <f>SUM(G11:G13)</f>
        <v>333.09000000000003</v>
      </c>
      <c r="J14" s="224">
        <f>SUM(J11:J13)</f>
        <v>24981.750000000004</v>
      </c>
    </row>
    <row r="15" spans="1:10" s="218" customFormat="1" ht="12.75" x14ac:dyDescent="0.2">
      <c r="A15" s="219" t="s">
        <v>216</v>
      </c>
      <c r="B15" s="220"/>
      <c r="C15" s="220"/>
      <c r="D15" s="220"/>
      <c r="E15" s="220"/>
      <c r="F15" s="220"/>
      <c r="G15" s="220"/>
      <c r="H15" s="220"/>
      <c r="I15" s="220"/>
      <c r="J15" s="220"/>
    </row>
    <row r="16" spans="1:10" s="218" customFormat="1" ht="12.75" x14ac:dyDescent="0.2">
      <c r="A16" s="225"/>
      <c r="B16" s="226" t="s">
        <v>217</v>
      </c>
      <c r="C16" s="226"/>
      <c r="D16" s="226"/>
      <c r="E16" s="226"/>
      <c r="F16" s="226"/>
      <c r="G16" s="226"/>
    </row>
    <row r="17" spans="1:13" s="218" customFormat="1" ht="12.75" x14ac:dyDescent="0.2">
      <c r="A17" s="225"/>
      <c r="C17" s="217" t="s">
        <v>218</v>
      </c>
      <c r="G17" s="343">
        <v>44682</v>
      </c>
    </row>
    <row r="18" spans="1:13" s="221" customFormat="1" ht="25.5" x14ac:dyDescent="0.2">
      <c r="B18" s="217" t="s">
        <v>219</v>
      </c>
      <c r="C18" s="222"/>
      <c r="E18" s="222" t="s">
        <v>220</v>
      </c>
      <c r="G18" s="222" t="s">
        <v>221</v>
      </c>
      <c r="I18" s="222" t="s">
        <v>222</v>
      </c>
      <c r="J18" s="222" t="s">
        <v>223</v>
      </c>
    </row>
    <row r="19" spans="1:13" s="218" customFormat="1" ht="12.75" x14ac:dyDescent="0.2">
      <c r="A19" s="217"/>
      <c r="B19" s="217" t="s">
        <v>224</v>
      </c>
      <c r="C19" s="344">
        <v>50</v>
      </c>
      <c r="D19" s="217" t="s">
        <v>211</v>
      </c>
      <c r="E19" s="345">
        <v>3</v>
      </c>
      <c r="F19" s="217" t="s">
        <v>212</v>
      </c>
      <c r="G19" s="224">
        <f>C19*E19</f>
        <v>150</v>
      </c>
      <c r="I19" s="344">
        <v>75</v>
      </c>
      <c r="J19" s="224">
        <f>I19*G19</f>
        <v>11250</v>
      </c>
    </row>
    <row r="20" spans="1:13" s="218" customFormat="1" ht="12.75" x14ac:dyDescent="0.2">
      <c r="A20" s="217"/>
      <c r="B20" s="217"/>
      <c r="C20" s="217"/>
      <c r="D20" s="217"/>
      <c r="E20" s="302"/>
      <c r="F20" s="217"/>
      <c r="G20" s="302"/>
      <c r="I20" s="217"/>
      <c r="J20" s="302"/>
    </row>
    <row r="21" spans="1:13" s="218" customFormat="1" ht="12.75" x14ac:dyDescent="0.2">
      <c r="A21" s="227"/>
      <c r="B21" s="228" t="s">
        <v>225</v>
      </c>
      <c r="C21" s="229"/>
      <c r="D21" s="229"/>
      <c r="E21" s="229"/>
      <c r="F21" s="229"/>
      <c r="G21" s="229"/>
      <c r="H21" s="229"/>
      <c r="I21" s="229"/>
      <c r="J21" s="229"/>
      <c r="K21" s="230"/>
      <c r="L21" s="230"/>
      <c r="M21" s="230"/>
    </row>
    <row r="22" spans="1:13" s="218" customFormat="1" ht="12.75" x14ac:dyDescent="0.2">
      <c r="A22" s="204"/>
      <c r="B22" s="204" t="s">
        <v>226</v>
      </c>
      <c r="C22" s="230"/>
      <c r="D22" s="230"/>
      <c r="E22" s="230"/>
      <c r="F22" s="230"/>
      <c r="G22" s="231">
        <f>C11-C19</f>
        <v>100</v>
      </c>
      <c r="H22" s="204" t="s">
        <v>211</v>
      </c>
      <c r="I22" s="230"/>
      <c r="J22" s="230"/>
      <c r="K22" s="230"/>
      <c r="L22" s="230"/>
      <c r="M22" s="230"/>
    </row>
    <row r="23" spans="1:13" s="218" customFormat="1" ht="12.75" x14ac:dyDescent="0.2">
      <c r="B23" s="217" t="s">
        <v>227</v>
      </c>
      <c r="C23" s="217"/>
      <c r="E23" s="217"/>
      <c r="G23" s="232">
        <f>G9-G17</f>
        <v>123</v>
      </c>
      <c r="H23" s="217" t="s">
        <v>228</v>
      </c>
    </row>
    <row r="24" spans="1:13" s="218" customFormat="1" ht="12.75" x14ac:dyDescent="0.2">
      <c r="B24" s="217" t="s">
        <v>229</v>
      </c>
      <c r="C24" s="217"/>
      <c r="E24" s="217"/>
      <c r="G24" s="233">
        <f>(C11-C19)/G23</f>
        <v>0.81300813008130079</v>
      </c>
      <c r="H24" s="217" t="s">
        <v>230</v>
      </c>
    </row>
    <row r="25" spans="1:13" s="218" customFormat="1" ht="12.75" x14ac:dyDescent="0.2">
      <c r="B25" s="217" t="s">
        <v>231</v>
      </c>
      <c r="C25" s="218" t="s">
        <v>232</v>
      </c>
      <c r="E25" s="217"/>
      <c r="G25" s="233">
        <f>'Drylot Lamb Finishing Feed Cost'!E19</f>
        <v>4.6406055000000004</v>
      </c>
      <c r="H25" s="217" t="s">
        <v>374</v>
      </c>
    </row>
    <row r="26" spans="1:13" s="218" customFormat="1" ht="12.75" x14ac:dyDescent="0.2">
      <c r="B26" s="217"/>
      <c r="C26" s="217"/>
      <c r="E26" s="217"/>
      <c r="G26" s="285"/>
      <c r="H26" s="217"/>
    </row>
    <row r="27" spans="1:13" s="230" customFormat="1" ht="12.75" x14ac:dyDescent="0.2">
      <c r="A27" s="229"/>
      <c r="B27" s="228" t="s">
        <v>233</v>
      </c>
      <c r="C27" s="229"/>
      <c r="D27" s="229"/>
      <c r="E27" s="229"/>
      <c r="F27" s="229"/>
      <c r="G27" s="229"/>
      <c r="H27" s="229"/>
      <c r="I27" s="229"/>
      <c r="J27" s="229"/>
      <c r="K27" s="205"/>
      <c r="L27" s="205"/>
    </row>
    <row r="28" spans="1:13" s="218" customFormat="1" ht="12.75" x14ac:dyDescent="0.2">
      <c r="B28" s="226" t="s">
        <v>234</v>
      </c>
      <c r="C28" s="234"/>
      <c r="D28" s="234"/>
      <c r="E28" s="234"/>
      <c r="F28" s="234"/>
      <c r="G28" s="234"/>
    </row>
    <row r="29" spans="1:13" s="218" customFormat="1" ht="12.75" x14ac:dyDescent="0.2">
      <c r="B29" s="217" t="s">
        <v>235</v>
      </c>
      <c r="G29" s="224">
        <f>'Drylot Lamb Finishing Feed Cost'!J19</f>
        <v>0.68072500000000002</v>
      </c>
      <c r="J29" s="217" t="s">
        <v>346</v>
      </c>
    </row>
    <row r="30" spans="1:13" s="218" customFormat="1" ht="12.75" x14ac:dyDescent="0.2">
      <c r="B30" s="217" t="s">
        <v>236</v>
      </c>
      <c r="G30" s="224">
        <f>'Drylot Lamb Finishing Feed Cost'!J20</f>
        <v>0.83729175</v>
      </c>
      <c r="J30" s="217" t="s">
        <v>347</v>
      </c>
    </row>
    <row r="31" spans="1:13" s="218" customFormat="1" ht="12.75" x14ac:dyDescent="0.2">
      <c r="B31" s="217" t="s">
        <v>237</v>
      </c>
      <c r="G31" s="224">
        <f>'Drylot Lamb Finishing Feed Cost'!J18</f>
        <v>83.729174999999998</v>
      </c>
      <c r="J31" s="224">
        <f>G31*I19</f>
        <v>6279.6881249999997</v>
      </c>
    </row>
    <row r="32" spans="1:13" s="218" customFormat="1" ht="12.75" x14ac:dyDescent="0.2">
      <c r="B32" s="217"/>
      <c r="G32" s="285"/>
    </row>
    <row r="33" spans="1:10" s="218" customFormat="1" ht="12.75" x14ac:dyDescent="0.2">
      <c r="A33" s="228" t="s">
        <v>238</v>
      </c>
      <c r="B33" s="227"/>
      <c r="C33" s="227"/>
      <c r="D33" s="227"/>
      <c r="E33" s="227"/>
      <c r="F33" s="227"/>
      <c r="G33" s="227"/>
      <c r="H33" s="227"/>
      <c r="I33" s="227"/>
      <c r="J33" s="227"/>
    </row>
    <row r="34" spans="1:10" s="218" customFormat="1" ht="12.75" x14ac:dyDescent="0.2">
      <c r="B34" s="217" t="s">
        <v>114</v>
      </c>
      <c r="C34" s="217"/>
      <c r="D34" s="217"/>
      <c r="E34" s="217"/>
      <c r="F34" s="217"/>
      <c r="G34" s="217" t="s">
        <v>221</v>
      </c>
      <c r="J34" s="217" t="s">
        <v>239</v>
      </c>
    </row>
    <row r="35" spans="1:10" s="218" customFormat="1" ht="12.75" x14ac:dyDescent="0.2">
      <c r="B35" s="344" t="s">
        <v>240</v>
      </c>
      <c r="G35" s="224">
        <f>J35/$I$11</f>
        <v>0.15333333333333332</v>
      </c>
      <c r="J35" s="345">
        <v>11.5</v>
      </c>
    </row>
    <row r="36" spans="1:10" s="218" customFormat="1" ht="12.75" x14ac:dyDescent="0.2">
      <c r="B36" s="344" t="s">
        <v>241</v>
      </c>
      <c r="G36" s="224">
        <f t="shared" ref="G36:G42" si="0">J36/$I$11</f>
        <v>0.13333333333333333</v>
      </c>
      <c r="J36" s="345">
        <v>10</v>
      </c>
    </row>
    <row r="37" spans="1:10" s="218" customFormat="1" ht="12.75" x14ac:dyDescent="0.2">
      <c r="B37" s="344" t="s">
        <v>242</v>
      </c>
      <c r="G37" s="224">
        <f t="shared" si="0"/>
        <v>0.2</v>
      </c>
      <c r="J37" s="345">
        <v>15</v>
      </c>
    </row>
    <row r="38" spans="1:10" s="218" customFormat="1" ht="12.75" x14ac:dyDescent="0.2">
      <c r="B38" s="344"/>
      <c r="G38" s="224">
        <f t="shared" si="0"/>
        <v>0</v>
      </c>
      <c r="J38" s="345"/>
    </row>
    <row r="39" spans="1:10" s="218" customFormat="1" ht="12.75" x14ac:dyDescent="0.2">
      <c r="B39" s="344" t="s">
        <v>243</v>
      </c>
      <c r="G39" s="224">
        <f t="shared" si="0"/>
        <v>6.6666666666666666E-2</v>
      </c>
      <c r="J39" s="345">
        <v>5</v>
      </c>
    </row>
    <row r="40" spans="1:10" s="218" customFormat="1" ht="12.75" x14ac:dyDescent="0.2">
      <c r="B40" s="344"/>
      <c r="G40" s="224">
        <f t="shared" si="0"/>
        <v>0</v>
      </c>
      <c r="J40" s="345"/>
    </row>
    <row r="41" spans="1:10" s="218" customFormat="1" ht="12.75" x14ac:dyDescent="0.2">
      <c r="B41" s="344"/>
      <c r="G41" s="224">
        <f t="shared" si="0"/>
        <v>0</v>
      </c>
      <c r="J41" s="345">
        <v>0</v>
      </c>
    </row>
    <row r="42" spans="1:10" s="218" customFormat="1" ht="12.75" x14ac:dyDescent="0.2">
      <c r="B42" s="344"/>
      <c r="G42" s="224">
        <f t="shared" si="0"/>
        <v>0</v>
      </c>
      <c r="J42" s="345"/>
    </row>
    <row r="43" spans="1:10" s="218" customFormat="1" ht="12.75" x14ac:dyDescent="0.2">
      <c r="B43" s="217" t="s">
        <v>69</v>
      </c>
      <c r="G43" s="224">
        <f>SUM(G35:G42)</f>
        <v>0.55333333333333334</v>
      </c>
      <c r="J43" s="224">
        <f>SUM(J35:J42)</f>
        <v>41.5</v>
      </c>
    </row>
    <row r="44" spans="1:10" s="218" customFormat="1" ht="12.75" x14ac:dyDescent="0.2"/>
    <row r="45" spans="1:10" s="218" customFormat="1" ht="12.75" x14ac:dyDescent="0.2">
      <c r="A45" s="239" t="s">
        <v>244</v>
      </c>
      <c r="B45" s="227"/>
      <c r="C45" s="227"/>
      <c r="D45" s="227"/>
      <c r="E45" s="227"/>
      <c r="F45" s="227"/>
      <c r="G45" s="227"/>
      <c r="H45" s="227"/>
      <c r="I45" s="227"/>
      <c r="J45" s="227"/>
    </row>
    <row r="46" spans="1:10" s="218" customFormat="1" ht="12.75" x14ac:dyDescent="0.2">
      <c r="A46" s="217"/>
      <c r="G46" s="217" t="s">
        <v>221</v>
      </c>
      <c r="J46" s="217" t="s">
        <v>239</v>
      </c>
    </row>
    <row r="47" spans="1:10" s="218" customFormat="1" ht="12.75" x14ac:dyDescent="0.2">
      <c r="A47" s="205"/>
      <c r="B47" s="204" t="s">
        <v>245</v>
      </c>
      <c r="C47" s="208">
        <v>5</v>
      </c>
      <c r="D47" s="209" t="s">
        <v>246</v>
      </c>
      <c r="E47" s="210"/>
      <c r="F47" s="211"/>
      <c r="G47" s="318">
        <f>(G11+G12)*(C47/100)</f>
        <v>16.654500000000002</v>
      </c>
      <c r="H47" s="212"/>
      <c r="I47" s="205"/>
      <c r="J47" s="272">
        <f>G47*$I$11</f>
        <v>1249.0875000000001</v>
      </c>
    </row>
    <row r="48" spans="1:10" s="218" customFormat="1" ht="12.75" x14ac:dyDescent="0.2">
      <c r="A48" s="205"/>
      <c r="B48" s="204" t="s">
        <v>247</v>
      </c>
      <c r="C48" s="321">
        <f>G19</f>
        <v>150</v>
      </c>
      <c r="D48" s="209" t="s">
        <v>248</v>
      </c>
      <c r="E48" s="243">
        <v>6</v>
      </c>
      <c r="F48" s="213" t="s">
        <v>249</v>
      </c>
      <c r="G48" s="318">
        <f>C48*(E48/100)*(G$23/365)</f>
        <v>3.032876712328767</v>
      </c>
      <c r="H48" s="235" t="s">
        <v>250</v>
      </c>
      <c r="I48" s="205"/>
      <c r="J48" s="272">
        <f t="shared" ref="J48:J57" si="1">G48*$I$11</f>
        <v>227.46575342465752</v>
      </c>
    </row>
    <row r="49" spans="1:13" s="218" customFormat="1" ht="12.75" x14ac:dyDescent="0.2">
      <c r="A49" s="205"/>
      <c r="B49" s="204" t="s">
        <v>251</v>
      </c>
      <c r="C49" s="322">
        <f>G31</f>
        <v>83.729174999999998</v>
      </c>
      <c r="D49" s="209" t="s">
        <v>248</v>
      </c>
      <c r="E49" s="244">
        <v>6</v>
      </c>
      <c r="F49" s="213" t="s">
        <v>249</v>
      </c>
      <c r="G49" s="318">
        <f>(C49)*(E49/100)*(G23/365)</f>
        <v>1.6929350999999997</v>
      </c>
      <c r="H49" s="235" t="s">
        <v>250</v>
      </c>
      <c r="I49" s="205"/>
      <c r="J49" s="272">
        <f t="shared" si="1"/>
        <v>126.97013249999998</v>
      </c>
      <c r="L49" s="217" t="s">
        <v>252</v>
      </c>
      <c r="M49" s="217"/>
    </row>
    <row r="50" spans="1:13" s="218" customFormat="1" ht="12.75" x14ac:dyDescent="0.2">
      <c r="A50" s="205"/>
      <c r="B50" s="204" t="s">
        <v>56</v>
      </c>
      <c r="C50" s="236"/>
      <c r="D50" s="209"/>
      <c r="E50" s="248"/>
      <c r="F50" s="213"/>
      <c r="G50" s="318">
        <f>J50/$I$11</f>
        <v>2.3333333333333335</v>
      </c>
      <c r="H50" s="209" t="s">
        <v>253</v>
      </c>
      <c r="I50" s="205"/>
      <c r="J50" s="346">
        <v>175</v>
      </c>
    </row>
    <row r="51" spans="1:13" s="218" customFormat="1" ht="12.75" x14ac:dyDescent="0.2">
      <c r="A51" s="205"/>
      <c r="B51" s="204" t="s">
        <v>82</v>
      </c>
      <c r="C51" s="236"/>
      <c r="D51" s="209"/>
      <c r="E51" s="240"/>
      <c r="F51" s="213"/>
      <c r="G51" s="318">
        <f t="shared" ref="G51:G56" si="2">J51/$I$11</f>
        <v>5</v>
      </c>
      <c r="H51" s="209" t="s">
        <v>253</v>
      </c>
      <c r="I51" s="205"/>
      <c r="J51" s="346">
        <v>375</v>
      </c>
      <c r="L51" s="344">
        <v>5</v>
      </c>
      <c r="M51" s="217" t="s">
        <v>254</v>
      </c>
    </row>
    <row r="52" spans="1:13" s="218" customFormat="1" ht="12.75" x14ac:dyDescent="0.2">
      <c r="A52" s="205"/>
      <c r="B52" s="204" t="s">
        <v>255</v>
      </c>
      <c r="C52" s="205"/>
      <c r="D52" s="206"/>
      <c r="E52" s="241"/>
      <c r="F52" s="213"/>
      <c r="G52" s="318">
        <f t="shared" si="2"/>
        <v>3</v>
      </c>
      <c r="H52" s="216" t="s">
        <v>253</v>
      </c>
      <c r="I52" s="205"/>
      <c r="J52" s="346">
        <v>225</v>
      </c>
      <c r="L52" s="345">
        <v>35</v>
      </c>
      <c r="M52" s="217" t="s">
        <v>256</v>
      </c>
    </row>
    <row r="53" spans="1:13" s="218" customFormat="1" ht="12.75" x14ac:dyDescent="0.2">
      <c r="A53" s="205"/>
      <c r="B53" s="204" t="s">
        <v>257</v>
      </c>
      <c r="C53" s="205"/>
      <c r="D53" s="206"/>
      <c r="E53" s="241"/>
      <c r="F53" s="209"/>
      <c r="G53" s="318">
        <f t="shared" si="2"/>
        <v>5</v>
      </c>
      <c r="H53" s="216" t="s">
        <v>253</v>
      </c>
      <c r="I53" s="205"/>
      <c r="J53" s="346">
        <v>375</v>
      </c>
      <c r="L53" s="224">
        <f>(L51*L52)</f>
        <v>175</v>
      </c>
      <c r="M53" s="217" t="s">
        <v>258</v>
      </c>
    </row>
    <row r="54" spans="1:13" s="218" customFormat="1" ht="12.75" x14ac:dyDescent="0.2">
      <c r="A54" s="205"/>
      <c r="B54" s="204" t="s">
        <v>259</v>
      </c>
      <c r="C54" s="206"/>
      <c r="D54" s="206"/>
      <c r="E54" s="241"/>
      <c r="G54" s="317">
        <f t="shared" si="2"/>
        <v>3.5</v>
      </c>
      <c r="H54" s="213" t="s">
        <v>253</v>
      </c>
      <c r="I54" s="205"/>
      <c r="J54" s="346">
        <v>262.5</v>
      </c>
    </row>
    <row r="55" spans="1:13" s="218" customFormat="1" ht="12.75" x14ac:dyDescent="0.2">
      <c r="A55" s="205"/>
      <c r="B55" s="204" t="s">
        <v>260</v>
      </c>
      <c r="C55" s="205"/>
      <c r="D55" s="205"/>
      <c r="E55" s="240"/>
      <c r="G55" s="317">
        <f t="shared" si="2"/>
        <v>0</v>
      </c>
      <c r="H55" s="209" t="s">
        <v>253</v>
      </c>
      <c r="I55" s="205"/>
      <c r="J55" s="346">
        <v>0</v>
      </c>
    </row>
    <row r="56" spans="1:13" s="218" customFormat="1" ht="12.75" x14ac:dyDescent="0.2">
      <c r="A56" s="205"/>
      <c r="B56" s="204" t="s">
        <v>261</v>
      </c>
      <c r="C56" s="205"/>
      <c r="D56" s="205"/>
      <c r="E56" s="241"/>
      <c r="G56" s="317">
        <f t="shared" si="2"/>
        <v>0</v>
      </c>
      <c r="H56" s="209" t="s">
        <v>262</v>
      </c>
      <c r="I56" s="205"/>
      <c r="J56" s="346">
        <v>0</v>
      </c>
    </row>
    <row r="57" spans="1:13" s="218" customFormat="1" ht="12.75" x14ac:dyDescent="0.2">
      <c r="A57" s="205"/>
      <c r="B57" s="217" t="s">
        <v>263</v>
      </c>
      <c r="C57" s="206"/>
      <c r="D57" s="206"/>
      <c r="E57" s="206"/>
      <c r="F57" s="206"/>
      <c r="G57" s="319">
        <f>SUM(G47:G56)</f>
        <v>40.213645145662099</v>
      </c>
      <c r="H57" s="212"/>
      <c r="I57" s="205"/>
      <c r="J57" s="272">
        <f t="shared" si="1"/>
        <v>3016.0233859246573</v>
      </c>
    </row>
    <row r="58" spans="1:13" s="218" customFormat="1" ht="12.75" x14ac:dyDescent="0.2"/>
    <row r="59" spans="1:13" s="218" customFormat="1" ht="12.75" x14ac:dyDescent="0.2">
      <c r="A59" s="239" t="s">
        <v>264</v>
      </c>
      <c r="B59" s="227"/>
      <c r="C59" s="227"/>
      <c r="D59" s="227"/>
      <c r="E59" s="227"/>
      <c r="F59" s="227"/>
      <c r="G59" s="227"/>
      <c r="H59" s="227"/>
      <c r="I59" s="227"/>
      <c r="J59" s="227"/>
    </row>
    <row r="60" spans="1:13" s="218" customFormat="1" ht="12.75" x14ac:dyDescent="0.2">
      <c r="B60" s="234" t="s">
        <v>373</v>
      </c>
      <c r="C60" s="234"/>
      <c r="D60" s="234"/>
      <c r="E60" s="234"/>
      <c r="F60" s="234"/>
      <c r="G60" s="234"/>
    </row>
    <row r="61" spans="1:13" s="218" customFormat="1" ht="12.75" x14ac:dyDescent="0.2">
      <c r="A61" s="214"/>
      <c r="B61" s="204" t="s">
        <v>371</v>
      </c>
      <c r="C61" s="245">
        <v>0.25</v>
      </c>
      <c r="D61" s="204" t="s">
        <v>265</v>
      </c>
      <c r="E61" s="242">
        <f>G23</f>
        <v>123</v>
      </c>
      <c r="F61" s="215" t="s">
        <v>228</v>
      </c>
      <c r="G61" s="320">
        <f>C61*E61</f>
        <v>30.75</v>
      </c>
      <c r="H61" s="216" t="s">
        <v>253</v>
      </c>
      <c r="I61" s="205"/>
      <c r="J61" s="272">
        <f t="shared" ref="J61" si="3">G61*$I$11</f>
        <v>2306.25</v>
      </c>
    </row>
    <row r="62" spans="1:13" s="218" customFormat="1" ht="12.75" x14ac:dyDescent="0.2">
      <c r="A62" s="214"/>
      <c r="B62" s="204" t="s">
        <v>372</v>
      </c>
      <c r="C62" s="303"/>
      <c r="D62" s="204"/>
      <c r="E62" s="304"/>
      <c r="F62" s="215"/>
      <c r="G62" s="216"/>
      <c r="H62" s="216"/>
      <c r="I62" s="205"/>
      <c r="J62" s="305"/>
    </row>
    <row r="63" spans="1:13" s="218" customFormat="1" ht="12.75" x14ac:dyDescent="0.2">
      <c r="A63" s="239" t="s">
        <v>266</v>
      </c>
      <c r="B63" s="227"/>
      <c r="C63" s="227"/>
      <c r="D63" s="227"/>
      <c r="E63" s="227"/>
      <c r="F63" s="227"/>
      <c r="G63" s="227"/>
      <c r="H63" s="227"/>
      <c r="I63" s="227"/>
      <c r="J63" s="227"/>
    </row>
    <row r="64" spans="1:13" s="218" customFormat="1" ht="12.75" x14ac:dyDescent="0.2">
      <c r="B64" s="234" t="s">
        <v>377</v>
      </c>
      <c r="C64" s="234"/>
      <c r="D64" s="234"/>
      <c r="E64" s="234"/>
      <c r="F64" s="234"/>
      <c r="G64" s="234"/>
      <c r="H64" s="234"/>
      <c r="I64" s="234"/>
    </row>
    <row r="65" spans="1:19" s="218" customFormat="1" ht="12.75" x14ac:dyDescent="0.2">
      <c r="B65" s="217" t="s">
        <v>266</v>
      </c>
      <c r="G65" s="224">
        <f>(G31+G43+G57+G61)/G22</f>
        <v>1.5524615347899544</v>
      </c>
      <c r="H65" s="217" t="s">
        <v>267</v>
      </c>
    </row>
    <row r="66" spans="1:19" s="218" customFormat="1" ht="12.75" x14ac:dyDescent="0.2">
      <c r="B66" s="217"/>
      <c r="G66" s="287"/>
      <c r="H66" s="217"/>
    </row>
    <row r="67" spans="1:19" s="218" customFormat="1" ht="12.75" x14ac:dyDescent="0.2">
      <c r="A67" s="239" t="s">
        <v>268</v>
      </c>
      <c r="B67" s="227"/>
      <c r="C67" s="227"/>
      <c r="D67" s="227"/>
      <c r="E67" s="227"/>
      <c r="F67" s="227"/>
      <c r="G67" s="227"/>
      <c r="H67" s="227"/>
      <c r="I67" s="227"/>
      <c r="J67" s="227"/>
    </row>
    <row r="68" spans="1:19" s="218" customFormat="1" ht="12.75" x14ac:dyDescent="0.2">
      <c r="B68" s="217" t="s">
        <v>269</v>
      </c>
      <c r="G68" s="224">
        <f>G14</f>
        <v>333.09000000000003</v>
      </c>
      <c r="H68" s="217" t="s">
        <v>253</v>
      </c>
      <c r="J68" s="224">
        <f t="shared" ref="J68:J72" si="4">G68*$I$11</f>
        <v>24981.750000000004</v>
      </c>
    </row>
    <row r="69" spans="1:19" s="218" customFormat="1" ht="12.75" x14ac:dyDescent="0.2">
      <c r="B69" s="217" t="s">
        <v>270</v>
      </c>
      <c r="G69" s="224">
        <f>G19+G31+G43+G57</f>
        <v>274.49615347899544</v>
      </c>
      <c r="H69" s="217" t="s">
        <v>253</v>
      </c>
      <c r="J69" s="224">
        <f t="shared" si="4"/>
        <v>20587.211510924659</v>
      </c>
    </row>
    <row r="70" spans="1:19" s="218" customFormat="1" ht="12.75" x14ac:dyDescent="0.2">
      <c r="B70" s="217" t="s">
        <v>271</v>
      </c>
      <c r="G70" s="268">
        <f>G68-G69</f>
        <v>58.593846521004593</v>
      </c>
      <c r="H70" s="217" t="s">
        <v>253</v>
      </c>
      <c r="J70" s="268">
        <f t="shared" si="4"/>
        <v>4394.5384890753448</v>
      </c>
    </row>
    <row r="71" spans="1:19" s="218" customFormat="1" ht="12.75" x14ac:dyDescent="0.2">
      <c r="B71" s="217" t="s">
        <v>272</v>
      </c>
      <c r="G71" s="224">
        <f>G61</f>
        <v>30.75</v>
      </c>
      <c r="H71" s="217" t="s">
        <v>253</v>
      </c>
      <c r="J71" s="224">
        <f t="shared" si="4"/>
        <v>2306.25</v>
      </c>
    </row>
    <row r="72" spans="1:19" s="218" customFormat="1" ht="12.75" x14ac:dyDescent="0.2">
      <c r="B72" s="217" t="s">
        <v>273</v>
      </c>
      <c r="G72" s="268">
        <f>G70-G71</f>
        <v>27.843846521004593</v>
      </c>
      <c r="H72" s="217" t="s">
        <v>253</v>
      </c>
      <c r="J72" s="268">
        <f t="shared" si="4"/>
        <v>2088.2884890753444</v>
      </c>
    </row>
    <row r="73" spans="1:19" s="218" customFormat="1" ht="12.75" x14ac:dyDescent="0.2">
      <c r="B73" s="217"/>
      <c r="G73" s="302"/>
      <c r="H73" s="217"/>
      <c r="J73" s="302"/>
    </row>
    <row r="74" spans="1:19" s="218" customFormat="1" ht="12.75" x14ac:dyDescent="0.2">
      <c r="A74" s="239" t="s">
        <v>274</v>
      </c>
      <c r="B74" s="227"/>
      <c r="C74" s="227"/>
      <c r="D74" s="227"/>
      <c r="E74" s="227"/>
      <c r="F74" s="227"/>
      <c r="G74" s="227"/>
      <c r="H74" s="227"/>
      <c r="I74" s="227"/>
      <c r="J74" s="227"/>
    </row>
    <row r="75" spans="1:19" s="218" customFormat="1" ht="12.75" x14ac:dyDescent="0.2">
      <c r="B75" s="217" t="s">
        <v>275</v>
      </c>
      <c r="G75" s="224">
        <f>(G69+G71)/C11</f>
        <v>2.0349743565266363</v>
      </c>
      <c r="H75" s="217" t="s">
        <v>212</v>
      </c>
    </row>
    <row r="76" spans="1:19" s="218" customFormat="1" ht="12.75" x14ac:dyDescent="0.2">
      <c r="B76" s="217" t="s">
        <v>276</v>
      </c>
      <c r="G76" s="224">
        <f>(G69+G71-G54)/C11</f>
        <v>2.0116410231933028</v>
      </c>
      <c r="H76" s="217" t="s">
        <v>212</v>
      </c>
    </row>
    <row r="77" spans="1:19" s="218" customFormat="1" ht="12.75" x14ac:dyDescent="0.2"/>
    <row r="78" spans="1:19" s="218" customFormat="1" ht="12.75" x14ac:dyDescent="0.2">
      <c r="B78" s="217" t="s">
        <v>277</v>
      </c>
      <c r="G78" s="224">
        <f>(G68-G31-G43-G57-G61)/C19</f>
        <v>3.556876930420092</v>
      </c>
      <c r="H78" s="217" t="s">
        <v>212</v>
      </c>
    </row>
    <row r="79" spans="1:19" s="218" customFormat="1" ht="12.75" x14ac:dyDescent="0.2">
      <c r="K79" s="219" t="s">
        <v>187</v>
      </c>
      <c r="L79" s="328"/>
      <c r="M79" s="328"/>
      <c r="N79" s="328"/>
      <c r="O79" s="328"/>
      <c r="P79" s="328"/>
      <c r="Q79" s="328"/>
      <c r="R79" s="328"/>
      <c r="S79" s="328"/>
    </row>
    <row r="80" spans="1:19" s="218" customFormat="1" ht="12.75" x14ac:dyDescent="0.2">
      <c r="K80" s="217" t="s">
        <v>188</v>
      </c>
      <c r="L80" s="217"/>
      <c r="M80" s="217"/>
      <c r="N80" s="217"/>
      <c r="O80" s="217"/>
      <c r="P80" s="217"/>
      <c r="Q80" s="217"/>
      <c r="R80" s="217"/>
      <c r="S80" s="217"/>
    </row>
    <row r="81" spans="2:19" s="218" customFormat="1" ht="12.75" x14ac:dyDescent="0.2">
      <c r="L81" s="217" t="s">
        <v>352</v>
      </c>
      <c r="M81" s="329">
        <v>-0.15</v>
      </c>
      <c r="N81" s="329">
        <v>-0.1</v>
      </c>
      <c r="O81" s="329">
        <v>-0.05</v>
      </c>
      <c r="P81" s="330"/>
      <c r="Q81" s="329">
        <v>0.05</v>
      </c>
      <c r="R81" s="329">
        <v>0.1</v>
      </c>
      <c r="S81" s="329">
        <v>0.15</v>
      </c>
    </row>
    <row r="82" spans="2:19" s="218" customFormat="1" ht="12.75" x14ac:dyDescent="0.2">
      <c r="L82" s="286" t="s">
        <v>353</v>
      </c>
      <c r="M82" s="331">
        <f>P82*(1+M81)</f>
        <v>1.7297282030476409</v>
      </c>
      <c r="N82" s="331">
        <f>P82*(1+N81)</f>
        <v>1.8314769208739727</v>
      </c>
      <c r="O82" s="331">
        <f>P82*(1+O81)</f>
        <v>1.9332256387003044</v>
      </c>
      <c r="P82" s="332">
        <f>G75</f>
        <v>2.0349743565266363</v>
      </c>
      <c r="Q82" s="331">
        <f>P82*(1+Q81)</f>
        <v>2.1367230743529682</v>
      </c>
      <c r="R82" s="331">
        <f>P82*(1+R81)</f>
        <v>2.2384717921793</v>
      </c>
      <c r="S82" s="331">
        <f>P82*(1+S81)</f>
        <v>2.3402205100056315</v>
      </c>
    </row>
    <row r="83" spans="2:19" s="218" customFormat="1" ht="12.75" x14ac:dyDescent="0.2">
      <c r="K83" s="333">
        <v>-0.15</v>
      </c>
      <c r="L83" s="331">
        <f>L86*(1+K83)</f>
        <v>0.47446532499999999</v>
      </c>
      <c r="M83" s="354">
        <f>$M$82-L83-(($G$19+$G$43+$G$57+$G$61)/$C$11)</f>
        <v>-0.22151697847899543</v>
      </c>
      <c r="N83" s="354">
        <f>$N$82-L83-(($G$19+$G$43+$G$57+$G$61)/$C$11)</f>
        <v>-0.11976826065266355</v>
      </c>
      <c r="O83" s="354">
        <f>$O$82-L83-(($G$19+$G$43+$G$57+$G$61)/$C$11)</f>
        <v>-1.8019542826331891E-2</v>
      </c>
      <c r="P83" s="354">
        <f t="shared" ref="P83:P89" si="5">$P$82-L83-(($G$19+$G$43+$G$57+$G$61)/$C$11)</f>
        <v>8.3729174999999989E-2</v>
      </c>
      <c r="Q83" s="354">
        <f>$Q$82-L83-(($G$19+$G$43+$G$57+$G$61)/$C$11)</f>
        <v>0.18547789282633187</v>
      </c>
      <c r="R83" s="354">
        <f>$R$82-L83-(($G$19+$G$43+$G$57+$G$61)/$C$11)</f>
        <v>0.28722661065266375</v>
      </c>
      <c r="S83" s="354">
        <f>$S$82-L83-(($G$19+$G$43+$G$57+$G$61)/$C$11)</f>
        <v>0.38897532847899519</v>
      </c>
    </row>
    <row r="84" spans="2:19" x14ac:dyDescent="0.25">
      <c r="K84" s="333">
        <v>-0.1</v>
      </c>
      <c r="L84" s="331">
        <f>L86*(1+K84)</f>
        <v>0.50237505000000005</v>
      </c>
      <c r="M84" s="354">
        <f t="shared" ref="M84:M89" si="6">$M$82-L84-(($G$19+$G$43+$G$57+$G$61)/$C$11)</f>
        <v>-0.24942670347899565</v>
      </c>
      <c r="N84" s="354">
        <f t="shared" ref="N84:N89" si="7">$N$82-L84-(($G$19+$G$43+$G$57+$G$61)/$C$11)</f>
        <v>-0.14767798565266377</v>
      </c>
      <c r="O84" s="354">
        <f t="shared" ref="O84:O89" si="8">$O$82-L84-(($G$19+$G$43+$G$57+$G$61)/$C$11)</f>
        <v>-4.5929267826331888E-2</v>
      </c>
      <c r="P84" s="354">
        <f t="shared" si="5"/>
        <v>5.5819449999999993E-2</v>
      </c>
      <c r="Q84" s="354">
        <f t="shared" ref="Q84:Q89" si="9">$Q$82-L84-(($G$19+$G$43+$G$57+$G$61)/$C$11)</f>
        <v>0.15756816782633187</v>
      </c>
      <c r="R84" s="354">
        <f t="shared" ref="R84:R89" si="10">$R$82-L84-(($G$19+$G$43+$G$57+$G$61)/$C$11)</f>
        <v>0.25931688565266375</v>
      </c>
      <c r="S84" s="354">
        <f t="shared" ref="S84:S89" si="11">$S$82-L84-(($G$19+$G$43+$G$57+$G$61)/$C$11)</f>
        <v>0.36106560347899519</v>
      </c>
    </row>
    <row r="85" spans="2:19" x14ac:dyDescent="0.25">
      <c r="K85" s="333">
        <v>-0.05</v>
      </c>
      <c r="L85" s="331">
        <f>L86*(1+K85)</f>
        <v>0.53028477500000004</v>
      </c>
      <c r="M85" s="354">
        <f t="shared" si="6"/>
        <v>-0.27733642847899542</v>
      </c>
      <c r="N85" s="354">
        <f t="shared" si="7"/>
        <v>-0.17558771065266354</v>
      </c>
      <c r="O85" s="354">
        <f t="shared" si="8"/>
        <v>-7.3838992826332106E-2</v>
      </c>
      <c r="P85" s="354">
        <f t="shared" si="5"/>
        <v>2.7909724999999774E-2</v>
      </c>
      <c r="Q85" s="354">
        <f t="shared" si="9"/>
        <v>0.12965844282633165</v>
      </c>
      <c r="R85" s="354">
        <f t="shared" si="10"/>
        <v>0.23140716065266353</v>
      </c>
      <c r="S85" s="354">
        <f t="shared" si="11"/>
        <v>0.33315587847899497</v>
      </c>
    </row>
    <row r="86" spans="2:19" x14ac:dyDescent="0.25">
      <c r="K86" s="334"/>
      <c r="L86" s="332">
        <f>G31/C11</f>
        <v>0.55819450000000004</v>
      </c>
      <c r="M86" s="354">
        <f t="shared" si="6"/>
        <v>-0.30524615347899564</v>
      </c>
      <c r="N86" s="354">
        <f t="shared" si="7"/>
        <v>-0.20349743565266376</v>
      </c>
      <c r="O86" s="354">
        <f t="shared" si="8"/>
        <v>-0.10174871782633188</v>
      </c>
      <c r="P86" s="332">
        <f t="shared" si="5"/>
        <v>0</v>
      </c>
      <c r="Q86" s="354">
        <f t="shared" si="9"/>
        <v>0.10174871782633188</v>
      </c>
      <c r="R86" s="354">
        <f t="shared" si="10"/>
        <v>0.20349743565266376</v>
      </c>
      <c r="S86" s="354">
        <f t="shared" si="11"/>
        <v>0.3052461534789952</v>
      </c>
    </row>
    <row r="87" spans="2:19" x14ac:dyDescent="0.25">
      <c r="K87" s="333">
        <v>0.05</v>
      </c>
      <c r="L87" s="331">
        <f>L86*(1+K87)</f>
        <v>0.58610422500000003</v>
      </c>
      <c r="M87" s="354">
        <f t="shared" si="6"/>
        <v>-0.33315587847899542</v>
      </c>
      <c r="N87" s="354">
        <f t="shared" si="7"/>
        <v>-0.23140716065266353</v>
      </c>
      <c r="O87" s="354">
        <f t="shared" si="8"/>
        <v>-0.1296584428263321</v>
      </c>
      <c r="P87" s="354">
        <f t="shared" si="5"/>
        <v>-2.7909725000000218E-2</v>
      </c>
      <c r="Q87" s="354">
        <f t="shared" si="9"/>
        <v>7.3838992826331662E-2</v>
      </c>
      <c r="R87" s="354">
        <f t="shared" si="10"/>
        <v>0.17558771065266354</v>
      </c>
      <c r="S87" s="354">
        <f t="shared" si="11"/>
        <v>0.27733642847899498</v>
      </c>
    </row>
    <row r="88" spans="2:19" x14ac:dyDescent="0.25">
      <c r="K88" s="333">
        <v>0.1</v>
      </c>
      <c r="L88" s="331">
        <f>L86*(1+K88)</f>
        <v>0.61401395000000014</v>
      </c>
      <c r="M88" s="354">
        <f t="shared" si="6"/>
        <v>-0.36106560347899563</v>
      </c>
      <c r="N88" s="354">
        <f t="shared" si="7"/>
        <v>-0.25931688565266375</v>
      </c>
      <c r="O88" s="354">
        <f t="shared" si="8"/>
        <v>-0.1575681678263321</v>
      </c>
      <c r="P88" s="354">
        <f t="shared" si="5"/>
        <v>-5.5819450000000215E-2</v>
      </c>
      <c r="Q88" s="354">
        <f t="shared" si="9"/>
        <v>4.5929267826331666E-2</v>
      </c>
      <c r="R88" s="354">
        <f t="shared" si="10"/>
        <v>0.14767798565266355</v>
      </c>
      <c r="S88" s="354">
        <f t="shared" si="11"/>
        <v>0.24942670347899498</v>
      </c>
    </row>
    <row r="89" spans="2:19" x14ac:dyDescent="0.25">
      <c r="K89" s="333">
        <v>0.15</v>
      </c>
      <c r="L89" s="331">
        <f>L86*(1+K89)</f>
        <v>0.64192367500000003</v>
      </c>
      <c r="M89" s="354">
        <f t="shared" si="6"/>
        <v>-0.38897532847899541</v>
      </c>
      <c r="N89" s="354">
        <f t="shared" si="7"/>
        <v>-0.28722661065266353</v>
      </c>
      <c r="O89" s="354">
        <f t="shared" si="8"/>
        <v>-0.18547789282633209</v>
      </c>
      <c r="P89" s="354">
        <f t="shared" si="5"/>
        <v>-8.3729175000000211E-2</v>
      </c>
      <c r="Q89" s="354">
        <f t="shared" si="9"/>
        <v>1.8019542826331669E-2</v>
      </c>
      <c r="R89" s="354">
        <f t="shared" si="10"/>
        <v>0.11976826065266355</v>
      </c>
      <c r="S89" s="354">
        <f t="shared" si="11"/>
        <v>0.22151697847899499</v>
      </c>
    </row>
    <row r="91" spans="2:19" s="335" customFormat="1" ht="18.75" x14ac:dyDescent="0.3">
      <c r="B91" s="335" t="s">
        <v>357</v>
      </c>
      <c r="C91" s="84" t="s">
        <v>360</v>
      </c>
    </row>
    <row r="92" spans="2:19" s="335" customFormat="1" ht="18.75" x14ac:dyDescent="0.3">
      <c r="C92" s="336" t="s">
        <v>362</v>
      </c>
    </row>
    <row r="93" spans="2:19" s="335" customFormat="1" ht="18.75" x14ac:dyDescent="0.3">
      <c r="B93" s="335" t="s">
        <v>363</v>
      </c>
    </row>
    <row r="94" spans="2:19" s="112" customFormat="1" ht="18.75" x14ac:dyDescent="0.3"/>
    <row r="95" spans="2:19" ht="18.75" x14ac:dyDescent="0.3">
      <c r="B95" s="54" t="s">
        <v>378</v>
      </c>
    </row>
  </sheetData>
  <sheetProtection algorithmName="SHA-512" hashValue="9yR7QkSUr3z5vwoRteI6z5S7A/vDuhCjS7TRU+tJm5Mp1e6UAlXiQQcA9g6ROqYX0+GTVs68vFg9R3zGmnLBKw==" saltValue="yCscHQ+r3Nyb5CDhclfDEQ==" spinCount="100000" sheet="1" objects="1" scenarios="1"/>
  <pageMargins left="0.7" right="0.7" top="0.75" bottom="0.75" header="0.3" footer="0.3"/>
  <pageSetup scale="99"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85CE89-82F5-4184-B13C-D1CD5B79350F}">
  <sheetPr>
    <tabColor rgb="FFFFCC99"/>
  </sheetPr>
  <dimension ref="A5:M33"/>
  <sheetViews>
    <sheetView zoomScale="110" zoomScaleNormal="110" workbookViewId="0">
      <selection activeCell="B8" sqref="B8"/>
    </sheetView>
  </sheetViews>
  <sheetFormatPr defaultRowHeight="15" x14ac:dyDescent="0.25"/>
  <cols>
    <col min="2" max="2" width="29.140625" customWidth="1"/>
    <col min="3" max="3" width="9.28515625" bestFit="1" customWidth="1"/>
    <col min="4" max="4" width="11.42578125" customWidth="1"/>
    <col min="5" max="5" width="11.5703125" customWidth="1"/>
    <col min="6" max="6" width="11.85546875" customWidth="1"/>
    <col min="7" max="7" width="10.85546875" customWidth="1"/>
    <col min="8" max="8" width="10.28515625" customWidth="1"/>
    <col min="9" max="9" width="13.42578125" customWidth="1"/>
    <col min="10" max="10" width="9.28515625" bestFit="1" customWidth="1"/>
  </cols>
  <sheetData>
    <row r="5" spans="1:12" s="218" customFormat="1" ht="12.75" x14ac:dyDescent="0.2">
      <c r="A5" s="204" t="s">
        <v>278</v>
      </c>
      <c r="B5" s="249"/>
      <c r="C5" s="249"/>
      <c r="D5" s="249"/>
      <c r="E5" s="249"/>
      <c r="F5" s="249"/>
      <c r="G5" s="249"/>
      <c r="H5" s="249"/>
      <c r="I5" s="249"/>
      <c r="J5" s="249"/>
      <c r="K5" s="249"/>
    </row>
    <row r="6" spans="1:12" s="218" customFormat="1" ht="12.75" x14ac:dyDescent="0.2">
      <c r="A6" s="234"/>
      <c r="B6" s="266" t="s">
        <v>279</v>
      </c>
      <c r="C6" s="267"/>
      <c r="D6" s="267"/>
      <c r="E6" s="267"/>
      <c r="F6" s="267"/>
      <c r="G6" s="267"/>
      <c r="H6" s="205"/>
      <c r="I6" s="205"/>
      <c r="J6" s="205"/>
      <c r="K6" s="205"/>
    </row>
    <row r="7" spans="1:12" s="218" customFormat="1" ht="25.5" x14ac:dyDescent="0.2">
      <c r="A7" s="205"/>
      <c r="B7" s="250" t="s">
        <v>280</v>
      </c>
      <c r="C7" s="251" t="s">
        <v>281</v>
      </c>
      <c r="D7" s="251" t="s">
        <v>282</v>
      </c>
      <c r="E7" s="251" t="s">
        <v>348</v>
      </c>
      <c r="F7" s="251" t="s">
        <v>283</v>
      </c>
      <c r="G7" s="251" t="s">
        <v>284</v>
      </c>
      <c r="H7" s="252" t="s">
        <v>285</v>
      </c>
      <c r="I7" s="251" t="s">
        <v>9</v>
      </c>
      <c r="J7" s="251" t="s">
        <v>286</v>
      </c>
      <c r="K7" s="222"/>
      <c r="L7" s="222"/>
    </row>
    <row r="8" spans="1:12" s="218" customFormat="1" ht="12.75" x14ac:dyDescent="0.2">
      <c r="A8" s="205"/>
      <c r="B8" s="277" t="s">
        <v>287</v>
      </c>
      <c r="C8" s="254">
        <v>2.75</v>
      </c>
      <c r="D8" s="255">
        <v>86</v>
      </c>
      <c r="E8" s="256">
        <f t="shared" ref="E8:E15" si="0">C8*(D8/100)</f>
        <v>2.3649999999999998</v>
      </c>
      <c r="F8" s="257">
        <f>E8*'Drylot Lamb Finishing Budget'!$G$23</f>
        <v>290.89499999999998</v>
      </c>
      <c r="G8" s="258">
        <f>'Drylot Lamb Finishing Budget'!$G$23*C8</f>
        <v>338.25</v>
      </c>
      <c r="H8" s="259">
        <v>7</v>
      </c>
      <c r="I8" s="209" t="s">
        <v>288</v>
      </c>
      <c r="J8" s="237">
        <f>G8*(H8/56)</f>
        <v>42.28125</v>
      </c>
    </row>
    <row r="9" spans="1:12" s="218" customFormat="1" ht="12.75" x14ac:dyDescent="0.2">
      <c r="A9" s="205"/>
      <c r="B9" s="281"/>
      <c r="C9" s="254"/>
      <c r="D9" s="255"/>
      <c r="E9" s="256">
        <f t="shared" si="0"/>
        <v>0</v>
      </c>
      <c r="F9" s="257">
        <f>E9*'Drylot Lamb Finishing Budget'!$G$23</f>
        <v>0</v>
      </c>
      <c r="G9" s="258">
        <f>'Drylot Lamb Finishing Budget'!$G$23*C9</f>
        <v>0</v>
      </c>
      <c r="H9" s="259"/>
      <c r="I9" s="209" t="s">
        <v>289</v>
      </c>
      <c r="J9" s="237">
        <f>G9*(H9/2000)</f>
        <v>0</v>
      </c>
    </row>
    <row r="10" spans="1:12" s="218" customFormat="1" ht="12.75" x14ac:dyDescent="0.2">
      <c r="A10" s="205"/>
      <c r="B10" s="281"/>
      <c r="C10" s="254"/>
      <c r="D10" s="255">
        <v>86</v>
      </c>
      <c r="E10" s="256">
        <f t="shared" si="0"/>
        <v>0</v>
      </c>
      <c r="F10" s="257">
        <f>E10*'Drylot Lamb Finishing Budget'!$G$23</f>
        <v>0</v>
      </c>
      <c r="G10" s="258">
        <f>'Drylot Lamb Finishing Budget'!$G$23*C10</f>
        <v>0</v>
      </c>
      <c r="H10" s="259"/>
      <c r="I10" s="209" t="s">
        <v>289</v>
      </c>
      <c r="J10" s="237">
        <f>G10*(H10/2000)</f>
        <v>0</v>
      </c>
    </row>
    <row r="11" spans="1:12" s="218" customFormat="1" ht="12.75" x14ac:dyDescent="0.2">
      <c r="A11" s="205"/>
      <c r="B11" s="253"/>
      <c r="C11" s="254"/>
      <c r="D11" s="255">
        <v>92</v>
      </c>
      <c r="E11" s="256">
        <f t="shared" si="0"/>
        <v>0</v>
      </c>
      <c r="F11" s="257">
        <f>E11*'Drylot Lamb Finishing Budget'!$G$23</f>
        <v>0</v>
      </c>
      <c r="G11" s="258">
        <f>'Drylot Lamb Finishing Budget'!$G$23*C11</f>
        <v>0</v>
      </c>
      <c r="H11" s="259">
        <v>131</v>
      </c>
      <c r="I11" s="209" t="s">
        <v>289</v>
      </c>
      <c r="J11" s="237">
        <f>G11*(H11/2000)</f>
        <v>0</v>
      </c>
    </row>
    <row r="12" spans="1:12" s="218" customFormat="1" ht="12.75" x14ac:dyDescent="0.2">
      <c r="A12" s="205"/>
      <c r="B12" s="253" t="s">
        <v>290</v>
      </c>
      <c r="C12" s="254">
        <v>0.55000000000000004</v>
      </c>
      <c r="D12" s="255">
        <v>92</v>
      </c>
      <c r="E12" s="256">
        <f t="shared" si="0"/>
        <v>0.50600000000000012</v>
      </c>
      <c r="F12" s="257">
        <f>E12*'Drylot Lamb Finishing Budget'!$G$23</f>
        <v>62.238000000000014</v>
      </c>
      <c r="G12" s="258">
        <f>'Drylot Lamb Finishing Budget'!$G$23*C12</f>
        <v>67.650000000000006</v>
      </c>
      <c r="H12" s="259">
        <v>936</v>
      </c>
      <c r="I12" s="209" t="s">
        <v>289</v>
      </c>
      <c r="J12" s="237">
        <f>G12*H12/2000</f>
        <v>31.660200000000003</v>
      </c>
    </row>
    <row r="13" spans="1:12" s="218" customFormat="1" ht="12.75" x14ac:dyDescent="0.2">
      <c r="A13" s="205"/>
      <c r="B13" s="253"/>
      <c r="C13" s="254"/>
      <c r="D13" s="255">
        <v>92</v>
      </c>
      <c r="E13" s="256">
        <f t="shared" si="0"/>
        <v>0</v>
      </c>
      <c r="F13" s="257">
        <f>E13*'Drylot Lamb Finishing Budget'!$G$23</f>
        <v>0</v>
      </c>
      <c r="G13" s="258">
        <f>'Drylot Lamb Finishing Budget'!$G$23*C13</f>
        <v>0</v>
      </c>
      <c r="H13" s="259"/>
      <c r="I13" s="209" t="s">
        <v>289</v>
      </c>
      <c r="J13" s="237">
        <f>G13*H13/2000</f>
        <v>0</v>
      </c>
    </row>
    <row r="14" spans="1:12" s="218" customFormat="1" ht="12.75" x14ac:dyDescent="0.2">
      <c r="A14" s="205"/>
      <c r="B14" s="253" t="s">
        <v>291</v>
      </c>
      <c r="C14" s="254">
        <v>1</v>
      </c>
      <c r="D14" s="255">
        <v>87</v>
      </c>
      <c r="E14" s="256">
        <f t="shared" si="0"/>
        <v>0.87</v>
      </c>
      <c r="F14" s="257">
        <f>E14*'Drylot Lamb Finishing Budget'!$G$23</f>
        <v>107.01</v>
      </c>
      <c r="G14" s="258">
        <f>'Drylot Lamb Finishing Budget'!$G$23*C14</f>
        <v>123</v>
      </c>
      <c r="H14" s="259">
        <v>135</v>
      </c>
      <c r="I14" s="209" t="s">
        <v>289</v>
      </c>
      <c r="J14" s="237">
        <f>G14*H14/2000</f>
        <v>8.3025000000000002</v>
      </c>
    </row>
    <row r="15" spans="1:12" s="218" customFormat="1" ht="12.75" x14ac:dyDescent="0.2">
      <c r="A15" s="205"/>
      <c r="B15" s="253" t="s">
        <v>292</v>
      </c>
      <c r="C15" s="254"/>
      <c r="D15" s="255">
        <v>38</v>
      </c>
      <c r="E15" s="256">
        <f t="shared" si="0"/>
        <v>0</v>
      </c>
      <c r="F15" s="257">
        <f>E15*'Drylot Lamb Finishing Budget'!$G$23</f>
        <v>0</v>
      </c>
      <c r="G15" s="258">
        <f>'Drylot Lamb Finishing Budget'!$G$23*C15</f>
        <v>0</v>
      </c>
      <c r="H15" s="259"/>
      <c r="I15" s="209" t="s">
        <v>289</v>
      </c>
      <c r="J15" s="237">
        <f>G15*(H15/2000)</f>
        <v>0</v>
      </c>
    </row>
    <row r="16" spans="1:12" s="218" customFormat="1" ht="12.75" x14ac:dyDescent="0.2">
      <c r="A16" s="205"/>
      <c r="B16" s="260" t="s">
        <v>293</v>
      </c>
      <c r="C16" s="254">
        <v>0.25</v>
      </c>
      <c r="D16" s="255">
        <v>98</v>
      </c>
      <c r="E16" s="261">
        <f>(C16*(D16/100))/16</f>
        <v>1.53125E-2</v>
      </c>
      <c r="F16" s="262">
        <f>E16*'Drylot Lamb Finishing Budget'!$G$23</f>
        <v>1.8834374999999999</v>
      </c>
      <c r="G16" s="263">
        <f>('Drylot Lamb Finishing Budget'!$G$23*C16)/16</f>
        <v>1.921875</v>
      </c>
      <c r="H16" s="259">
        <v>30</v>
      </c>
      <c r="I16" s="209" t="s">
        <v>294</v>
      </c>
      <c r="J16" s="237">
        <f>G16*(H16/50)</f>
        <v>1.153125</v>
      </c>
    </row>
    <row r="17" spans="1:13" s="218" customFormat="1" ht="12.75" x14ac:dyDescent="0.2">
      <c r="A17" s="205"/>
      <c r="B17" s="260" t="s">
        <v>295</v>
      </c>
      <c r="C17" s="254">
        <v>0.27</v>
      </c>
      <c r="D17" s="255">
        <v>98</v>
      </c>
      <c r="E17" s="261">
        <f>(C17*(D17/100))/16</f>
        <v>1.65375E-2</v>
      </c>
      <c r="F17" s="262">
        <f>E17*'Drylot Lamb Finishing Budget'!$G$23</f>
        <v>2.0341125</v>
      </c>
      <c r="G17" s="263">
        <f>('Drylot Lamb Finishing Budget'!$G$23*C17)/16</f>
        <v>2.0756250000000001</v>
      </c>
      <c r="H17" s="259">
        <v>8</v>
      </c>
      <c r="I17" s="209" t="s">
        <v>294</v>
      </c>
      <c r="J17" s="237">
        <f>G17*(H17/50)</f>
        <v>0.33210000000000001</v>
      </c>
    </row>
    <row r="18" spans="1:13" s="218" customFormat="1" ht="12.75" x14ac:dyDescent="0.2">
      <c r="A18" s="205"/>
      <c r="B18" s="204" t="s">
        <v>110</v>
      </c>
      <c r="C18" s="295">
        <f>SUM(C8:C15)+((C16+C17)/16)</f>
        <v>4.3324999999999996</v>
      </c>
      <c r="D18" s="204"/>
      <c r="E18" s="270">
        <f>SUM(E8:E17)</f>
        <v>3.77285</v>
      </c>
      <c r="F18" s="264">
        <f>SUM(F8:F17)</f>
        <v>464.06054999999998</v>
      </c>
      <c r="G18" s="264">
        <f>SUM(G8:G17)</f>
        <v>532.89749999999992</v>
      </c>
      <c r="H18" s="204" t="s">
        <v>54</v>
      </c>
      <c r="I18" s="204"/>
      <c r="J18" s="265">
        <f>SUM(J8:J17)</f>
        <v>83.729174999999998</v>
      </c>
    </row>
    <row r="19" spans="1:13" s="218" customFormat="1" ht="12.75" x14ac:dyDescent="0.2">
      <c r="A19" s="205"/>
      <c r="B19" s="204"/>
      <c r="C19" s="204" t="s">
        <v>296</v>
      </c>
      <c r="D19" s="204"/>
      <c r="E19" s="271">
        <f>E18/'Drylot Lamb Finishing Budget'!G24</f>
        <v>4.6406055000000004</v>
      </c>
      <c r="F19" s="204"/>
      <c r="G19" s="204" t="s">
        <v>235</v>
      </c>
      <c r="I19" s="204"/>
      <c r="J19" s="265">
        <f>J18/'Drylot Lamb Finishing Budget'!G23</f>
        <v>0.68072500000000002</v>
      </c>
    </row>
    <row r="20" spans="1:13" s="218" customFormat="1" ht="12.75" x14ac:dyDescent="0.2">
      <c r="A20" s="205"/>
      <c r="B20" s="204"/>
      <c r="C20" s="204"/>
      <c r="D20" s="204"/>
      <c r="E20" s="204"/>
      <c r="F20" s="204"/>
      <c r="G20" s="204" t="s">
        <v>236</v>
      </c>
      <c r="I20" s="204"/>
      <c r="J20" s="265">
        <f>J18/('Drylot Lamb Finishing Budget'!C11-'Drylot Lamb Finishing Budget'!C19)</f>
        <v>0.83729175</v>
      </c>
    </row>
    <row r="21" spans="1:13" s="218" customFormat="1" ht="12.75" x14ac:dyDescent="0.2">
      <c r="A21" s="205"/>
      <c r="B21" s="205"/>
      <c r="C21" s="205"/>
      <c r="D21" s="205"/>
      <c r="E21" s="205"/>
      <c r="F21" s="205"/>
      <c r="G21" s="204" t="s">
        <v>297</v>
      </c>
      <c r="I21" s="205"/>
      <c r="J21" s="269">
        <f>J18/G18</f>
        <v>0.15712060011540682</v>
      </c>
    </row>
    <row r="22" spans="1:13" ht="15.75" x14ac:dyDescent="0.25">
      <c r="A22" s="207"/>
      <c r="B22" s="207"/>
      <c r="C22" s="207"/>
      <c r="D22" s="207"/>
      <c r="E22" s="207"/>
      <c r="F22" s="207"/>
      <c r="G22" s="217" t="s">
        <v>298</v>
      </c>
      <c r="I22" s="207"/>
      <c r="J22" s="268">
        <f>J18/F18</f>
        <v>0.18042726320951005</v>
      </c>
      <c r="L22" s="207"/>
      <c r="M22" s="207"/>
    </row>
    <row r="23" spans="1:13" x14ac:dyDescent="0.25">
      <c r="B23" s="48" t="s">
        <v>299</v>
      </c>
    </row>
    <row r="24" spans="1:13" x14ac:dyDescent="0.25">
      <c r="B24" s="278" t="s">
        <v>300</v>
      </c>
      <c r="C24" s="347">
        <v>18</v>
      </c>
    </row>
    <row r="25" spans="1:13" x14ac:dyDescent="0.25">
      <c r="B25" s="278" t="s">
        <v>301</v>
      </c>
      <c r="C25" s="348">
        <v>50</v>
      </c>
      <c r="E25" s="284" t="s">
        <v>351</v>
      </c>
      <c r="F25" s="282"/>
      <c r="G25" s="282"/>
      <c r="H25" s="282"/>
    </row>
    <row r="26" spans="1:13" x14ac:dyDescent="0.25">
      <c r="B26" s="278" t="s">
        <v>289</v>
      </c>
      <c r="C26" s="279">
        <f>(C24/C25)*2000</f>
        <v>720</v>
      </c>
      <c r="E26" s="284" t="s">
        <v>287</v>
      </c>
      <c r="F26" s="282" t="s">
        <v>370</v>
      </c>
      <c r="G26" s="282"/>
      <c r="H26" s="282"/>
    </row>
    <row r="27" spans="1:13" x14ac:dyDescent="0.25">
      <c r="B27" s="280" t="s">
        <v>303</v>
      </c>
      <c r="E27" s="284" t="s">
        <v>39</v>
      </c>
      <c r="F27" s="283" t="s">
        <v>304</v>
      </c>
      <c r="G27" s="282"/>
      <c r="H27" s="282"/>
    </row>
    <row r="28" spans="1:13" x14ac:dyDescent="0.25">
      <c r="B28" s="278" t="s">
        <v>305</v>
      </c>
      <c r="C28" s="347">
        <v>7.5</v>
      </c>
      <c r="E28" s="284" t="s">
        <v>306</v>
      </c>
      <c r="F28" s="283" t="s">
        <v>307</v>
      </c>
      <c r="G28" s="282"/>
      <c r="H28" s="282"/>
    </row>
    <row r="29" spans="1:13" x14ac:dyDescent="0.25">
      <c r="B29" s="278" t="s">
        <v>308</v>
      </c>
      <c r="C29" s="348">
        <v>56</v>
      </c>
      <c r="E29" s="284" t="s">
        <v>309</v>
      </c>
      <c r="F29" s="283" t="s">
        <v>310</v>
      </c>
      <c r="G29" s="282"/>
      <c r="H29" s="282"/>
    </row>
    <row r="30" spans="1:13" x14ac:dyDescent="0.25">
      <c r="B30" s="278" t="s">
        <v>289</v>
      </c>
      <c r="C30" s="279">
        <f>(C28/C29)*2000</f>
        <v>267.85714285714283</v>
      </c>
      <c r="E30" s="282"/>
      <c r="F30" s="282"/>
      <c r="G30" s="282"/>
      <c r="H30" s="282"/>
    </row>
    <row r="31" spans="1:13" x14ac:dyDescent="0.25">
      <c r="E31" s="282"/>
      <c r="F31" s="282"/>
      <c r="G31" s="282"/>
      <c r="H31" s="282"/>
    </row>
    <row r="33" spans="2:2" x14ac:dyDescent="0.25">
      <c r="B33" s="278" t="s">
        <v>380</v>
      </c>
    </row>
  </sheetData>
  <sheetProtection algorithmName="SHA-512" hashValue="lLnhJZjLDtUGa09RVloVHivC1ab1SFBmHnBxGBZTHTvLiqVOBOYev88irO5LkoJgaARUcuXOpe7nKOx38dr2WA==" saltValue="BhENYea75ARu9jNH5Ewowg==" spinCount="100000" sheet="1" objects="1" scenarios="1"/>
  <pageMargins left="0.7" right="0.7" top="0.75" bottom="0.75" header="0.3" footer="0.3"/>
  <pageSetup orientation="portrait"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A18C11-5ACF-47D8-B7D4-667A29B4808D}">
  <dimension ref="B6"/>
  <sheetViews>
    <sheetView workbookViewId="0">
      <selection activeCell="J5" sqref="J5"/>
    </sheetView>
  </sheetViews>
  <sheetFormatPr defaultRowHeight="15" x14ac:dyDescent="0.25"/>
  <sheetData>
    <row r="6" spans="2:2" x14ac:dyDescent="0.25">
      <c r="B6" s="217" t="s">
        <v>356</v>
      </c>
    </row>
  </sheetData>
  <sheetProtection algorithmName="SHA-512" hashValue="VOIJYk4K/b/KQJLAWESL1N7TL4TS29zstzvHx+3p/rHnrCkmlqgPeKhVNHlEier+qKZFHWoDapwRkxkaCeUU7w==" saltValue="1+FDxBNT6PYiD90/klQDxw==" spinCount="100000" sheet="1" objects="1" scenarios="1"/>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501F56-8572-43FB-8FD0-2910045761D8}">
  <sheetPr>
    <tabColor rgb="FFCCFF99"/>
    <pageSetUpPr fitToPage="1"/>
  </sheetPr>
  <dimension ref="A5:S116"/>
  <sheetViews>
    <sheetView topLeftCell="A97" zoomScale="120" zoomScaleNormal="120" workbookViewId="0">
      <selection activeCell="D8" sqref="D8"/>
    </sheetView>
  </sheetViews>
  <sheetFormatPr defaultRowHeight="15.75" x14ac:dyDescent="0.25"/>
  <cols>
    <col min="1" max="1" width="3.5703125" style="207" customWidth="1"/>
    <col min="2" max="2" width="30.5703125" style="207" customWidth="1"/>
    <col min="3" max="3" width="14.85546875" style="207" customWidth="1"/>
    <col min="4" max="4" width="6.85546875" style="207" customWidth="1"/>
    <col min="5" max="5" width="14" style="207" customWidth="1"/>
    <col min="6" max="6" width="6.7109375" style="207" customWidth="1"/>
    <col min="7" max="7" width="12.85546875" style="207" customWidth="1"/>
    <col min="8" max="8" width="6.5703125" style="207" customWidth="1"/>
    <col min="9" max="9" width="12.42578125" style="207" customWidth="1"/>
    <col min="10" max="10" width="14.5703125" style="207" customWidth="1"/>
    <col min="11" max="11" width="10.42578125" style="207" bestFit="1" customWidth="1"/>
    <col min="12" max="13" width="11.5703125" style="207" customWidth="1"/>
    <col min="14" max="16384" width="9.140625" style="207"/>
  </cols>
  <sheetData>
    <row r="5" spans="1:10" s="218" customFormat="1" ht="18.75" customHeight="1" x14ac:dyDescent="0.2">
      <c r="A5" s="217" t="s">
        <v>200</v>
      </c>
    </row>
    <row r="6" spans="1:10" s="218" customFormat="1" ht="15.75" customHeight="1" x14ac:dyDescent="0.2">
      <c r="C6" s="218" t="s">
        <v>311</v>
      </c>
    </row>
    <row r="7" spans="1:10" s="218" customFormat="1" ht="15.75" customHeight="1" x14ac:dyDescent="0.2"/>
    <row r="8" spans="1:10" s="218" customFormat="1" ht="12.75" x14ac:dyDescent="0.2">
      <c r="A8" s="217" t="s">
        <v>202</v>
      </c>
      <c r="C8" s="340"/>
      <c r="D8" s="341"/>
      <c r="E8" s="342"/>
    </row>
    <row r="9" spans="1:10" s="218" customFormat="1" ht="12.75" x14ac:dyDescent="0.2">
      <c r="A9" s="219" t="s">
        <v>203</v>
      </c>
      <c r="B9" s="220"/>
      <c r="C9" s="220"/>
      <c r="D9" s="220"/>
      <c r="E9" s="220"/>
      <c r="F9" s="220"/>
      <c r="G9" s="220"/>
      <c r="H9" s="220"/>
      <c r="I9" s="220"/>
      <c r="J9" s="220"/>
    </row>
    <row r="10" spans="1:10" s="218" customFormat="1" ht="12.75" x14ac:dyDescent="0.2">
      <c r="E10" s="217" t="s">
        <v>204</v>
      </c>
      <c r="G10" s="343">
        <v>44805</v>
      </c>
    </row>
    <row r="11" spans="1:10" s="221" customFormat="1" ht="25.5" x14ac:dyDescent="0.2">
      <c r="B11" s="222" t="s">
        <v>205</v>
      </c>
      <c r="C11" s="222"/>
      <c r="D11" s="222"/>
      <c r="E11" s="223" t="s">
        <v>206</v>
      </c>
      <c r="F11" s="222"/>
      <c r="G11" s="223" t="s">
        <v>207</v>
      </c>
      <c r="H11" s="222"/>
      <c r="I11" s="223" t="s">
        <v>208</v>
      </c>
      <c r="J11" s="222" t="s">
        <v>209</v>
      </c>
    </row>
    <row r="12" spans="1:10" s="217" customFormat="1" ht="12.75" x14ac:dyDescent="0.2">
      <c r="B12" s="217" t="s">
        <v>210</v>
      </c>
      <c r="C12" s="344">
        <v>150</v>
      </c>
      <c r="D12" s="217" t="s">
        <v>211</v>
      </c>
      <c r="E12" s="345">
        <v>2.2200000000000002</v>
      </c>
      <c r="F12" s="217" t="s">
        <v>212</v>
      </c>
      <c r="G12" s="224">
        <f>C12*E12</f>
        <v>333.00000000000006</v>
      </c>
      <c r="I12" s="273">
        <f>I19</f>
        <v>75</v>
      </c>
      <c r="J12" s="224">
        <f>I12*G12</f>
        <v>24975.000000000004</v>
      </c>
    </row>
    <row r="13" spans="1:10" s="218" customFormat="1" ht="12.75" x14ac:dyDescent="0.2">
      <c r="B13" s="217" t="s">
        <v>213</v>
      </c>
      <c r="C13" s="344">
        <v>3</v>
      </c>
      <c r="D13" s="217" t="s">
        <v>211</v>
      </c>
      <c r="E13" s="345">
        <v>0.03</v>
      </c>
      <c r="F13" s="217" t="s">
        <v>212</v>
      </c>
      <c r="G13" s="224">
        <f>C13*E13</f>
        <v>0.09</v>
      </c>
      <c r="J13" s="224">
        <f>G13*I12</f>
        <v>6.75</v>
      </c>
    </row>
    <row r="14" spans="1:10" s="218" customFormat="1" ht="12.75" x14ac:dyDescent="0.2">
      <c r="B14" s="217"/>
      <c r="C14" s="217"/>
      <c r="D14" s="217"/>
      <c r="E14" s="302"/>
      <c r="F14" s="217"/>
      <c r="G14" s="302"/>
      <c r="J14" s="302"/>
    </row>
    <row r="15" spans="1:10" s="218" customFormat="1" ht="12.75" x14ac:dyDescent="0.2">
      <c r="A15" s="219" t="s">
        <v>216</v>
      </c>
      <c r="B15" s="220"/>
      <c r="C15" s="220"/>
      <c r="D15" s="220"/>
      <c r="E15" s="220"/>
      <c r="F15" s="220"/>
      <c r="G15" s="220"/>
      <c r="H15" s="220"/>
      <c r="I15" s="220"/>
      <c r="J15" s="220"/>
    </row>
    <row r="16" spans="1:10" s="218" customFormat="1" ht="12.75" x14ac:dyDescent="0.2">
      <c r="A16" s="225"/>
      <c r="B16" s="226" t="s">
        <v>217</v>
      </c>
      <c r="C16" s="226"/>
      <c r="D16" s="226"/>
      <c r="E16" s="226"/>
      <c r="F16" s="226"/>
      <c r="G16" s="226"/>
    </row>
    <row r="17" spans="1:13" s="218" customFormat="1" ht="12.75" x14ac:dyDescent="0.2">
      <c r="A17" s="225"/>
      <c r="C17" s="217" t="s">
        <v>218</v>
      </c>
      <c r="G17" s="343">
        <v>44682</v>
      </c>
    </row>
    <row r="18" spans="1:13" s="221" customFormat="1" ht="25.5" x14ac:dyDescent="0.2">
      <c r="B18" s="217" t="s">
        <v>219</v>
      </c>
      <c r="C18" s="222"/>
      <c r="E18" s="222" t="s">
        <v>220</v>
      </c>
      <c r="G18" s="222" t="s">
        <v>221</v>
      </c>
      <c r="I18" s="222" t="s">
        <v>222</v>
      </c>
      <c r="J18" s="222" t="s">
        <v>223</v>
      </c>
    </row>
    <row r="19" spans="1:13" s="218" customFormat="1" ht="12.75" x14ac:dyDescent="0.2">
      <c r="A19" s="217"/>
      <c r="B19" s="217" t="s">
        <v>224</v>
      </c>
      <c r="C19" s="344">
        <v>50</v>
      </c>
      <c r="D19" s="217" t="s">
        <v>211</v>
      </c>
      <c r="E19" s="345">
        <v>3</v>
      </c>
      <c r="F19" s="217" t="s">
        <v>212</v>
      </c>
      <c r="G19" s="224">
        <f>C19*E19</f>
        <v>150</v>
      </c>
      <c r="I19" s="344">
        <v>75</v>
      </c>
      <c r="J19" s="224">
        <f>I19*G19</f>
        <v>11250</v>
      </c>
    </row>
    <row r="20" spans="1:13" s="218" customFormat="1" ht="12.75" x14ac:dyDescent="0.2">
      <c r="A20" s="217"/>
      <c r="B20" s="217"/>
      <c r="C20" s="217"/>
      <c r="D20" s="217"/>
      <c r="E20" s="302"/>
      <c r="F20" s="217"/>
      <c r="G20" s="302"/>
      <c r="I20" s="217"/>
      <c r="J20" s="302"/>
    </row>
    <row r="21" spans="1:13" s="218" customFormat="1" ht="12.75" x14ac:dyDescent="0.2">
      <c r="A21" s="228" t="s">
        <v>225</v>
      </c>
      <c r="B21" s="227"/>
      <c r="C21" s="229"/>
      <c r="D21" s="229"/>
      <c r="E21" s="229"/>
      <c r="F21" s="229"/>
      <c r="G21" s="229"/>
      <c r="H21" s="229"/>
      <c r="I21" s="229"/>
      <c r="J21" s="229"/>
      <c r="K21" s="230"/>
      <c r="L21" s="230"/>
      <c r="M21" s="230"/>
    </row>
    <row r="22" spans="1:13" s="218" customFormat="1" ht="12.75" x14ac:dyDescent="0.2">
      <c r="A22" s="204"/>
      <c r="B22" s="204" t="s">
        <v>226</v>
      </c>
      <c r="C22" s="230"/>
      <c r="D22" s="230"/>
      <c r="E22" s="230"/>
      <c r="F22" s="230"/>
      <c r="G22" s="231">
        <f>C12-C19</f>
        <v>100</v>
      </c>
      <c r="H22" s="204" t="s">
        <v>211</v>
      </c>
      <c r="I22" s="230"/>
      <c r="J22" s="230"/>
      <c r="K22" s="230"/>
      <c r="L22" s="230"/>
      <c r="M22" s="230"/>
    </row>
    <row r="23" spans="1:13" s="218" customFormat="1" ht="12.75" x14ac:dyDescent="0.2">
      <c r="B23" s="217" t="s">
        <v>227</v>
      </c>
      <c r="C23" s="217"/>
      <c r="E23" s="217"/>
      <c r="G23" s="232">
        <f>G10-G17</f>
        <v>123</v>
      </c>
      <c r="H23" s="217" t="s">
        <v>228</v>
      </c>
    </row>
    <row r="24" spans="1:13" s="218" customFormat="1" ht="12.75" x14ac:dyDescent="0.2">
      <c r="B24" s="217" t="s">
        <v>229</v>
      </c>
      <c r="C24" s="217"/>
      <c r="E24" s="217"/>
      <c r="G24" s="233">
        <f>(C12-C19)/G23</f>
        <v>0.81300813008130079</v>
      </c>
      <c r="H24" s="217" t="s">
        <v>230</v>
      </c>
    </row>
    <row r="25" spans="1:13" s="218" customFormat="1" ht="12.75" x14ac:dyDescent="0.2">
      <c r="B25" s="217"/>
      <c r="C25" s="217"/>
      <c r="E25" s="217"/>
      <c r="G25" s="285"/>
      <c r="H25" s="217"/>
    </row>
    <row r="26" spans="1:13" s="218" customFormat="1" ht="12.75" x14ac:dyDescent="0.2">
      <c r="A26" s="239" t="s">
        <v>70</v>
      </c>
      <c r="B26" s="239"/>
      <c r="C26" s="239"/>
      <c r="D26" s="227"/>
      <c r="E26" s="239"/>
      <c r="F26" s="227"/>
      <c r="G26" s="274"/>
      <c r="H26" s="239"/>
      <c r="I26" s="227"/>
      <c r="J26" s="227"/>
    </row>
    <row r="27" spans="1:13" s="218" customFormat="1" ht="12.75" x14ac:dyDescent="0.2">
      <c r="B27" s="234"/>
      <c r="C27" s="275"/>
      <c r="D27" s="234"/>
      <c r="E27" s="275"/>
      <c r="F27" s="234"/>
      <c r="G27" s="276"/>
      <c r="H27" s="275"/>
      <c r="I27" s="234"/>
      <c r="J27" s="234"/>
    </row>
    <row r="28" spans="1:13" s="218" customFormat="1" ht="12.75" x14ac:dyDescent="0.2">
      <c r="B28" s="226" t="s">
        <v>312</v>
      </c>
      <c r="C28" s="275"/>
      <c r="D28" s="234"/>
      <c r="E28" s="275"/>
      <c r="F28" s="234"/>
      <c r="G28" s="276"/>
      <c r="H28" s="275"/>
      <c r="I28" s="234"/>
      <c r="J28" s="234"/>
    </row>
    <row r="29" spans="1:13" s="218" customFormat="1" ht="12.75" x14ac:dyDescent="0.2">
      <c r="B29" s="226" t="s">
        <v>313</v>
      </c>
      <c r="C29" s="275"/>
      <c r="D29" s="234"/>
      <c r="E29" s="275"/>
      <c r="F29" s="234"/>
      <c r="G29" s="276"/>
      <c r="H29" s="275"/>
      <c r="I29" s="234"/>
      <c r="J29" s="234"/>
    </row>
    <row r="30" spans="1:13" s="218" customFormat="1" ht="15" x14ac:dyDescent="0.25">
      <c r="B30" s="226" t="s">
        <v>314</v>
      </c>
      <c r="C30" s="275"/>
      <c r="D30" s="234"/>
      <c r="E30" s="301" t="s">
        <v>315</v>
      </c>
      <c r="F30" s="234"/>
      <c r="G30" s="276"/>
      <c r="H30" s="275"/>
      <c r="I30" s="234"/>
      <c r="J30" s="234"/>
    </row>
    <row r="31" spans="1:13" s="218" customFormat="1" ht="12.75" x14ac:dyDescent="0.2">
      <c r="C31" s="217"/>
      <c r="E31" s="217"/>
      <c r="H31" s="217"/>
      <c r="I31" s="217"/>
    </row>
    <row r="32" spans="1:13" s="218" customFormat="1" ht="12.75" x14ac:dyDescent="0.2">
      <c r="B32" s="217" t="s">
        <v>316</v>
      </c>
      <c r="C32" s="217"/>
      <c r="E32" s="344">
        <v>10</v>
      </c>
      <c r="F32" s="217" t="s">
        <v>317</v>
      </c>
      <c r="G32" s="233">
        <f>E32/I19</f>
        <v>0.13333333333333333</v>
      </c>
      <c r="H32" s="217" t="s">
        <v>318</v>
      </c>
    </row>
    <row r="33" spans="1:12" s="218" customFormat="1" ht="12.75" x14ac:dyDescent="0.2">
      <c r="B33" s="217"/>
      <c r="C33" s="217"/>
      <c r="E33" s="286"/>
      <c r="F33" s="217"/>
      <c r="G33" s="285" t="s">
        <v>221</v>
      </c>
      <c r="H33" s="217"/>
      <c r="I33" s="217" t="s">
        <v>349</v>
      </c>
      <c r="J33" s="217" t="s">
        <v>32</v>
      </c>
    </row>
    <row r="34" spans="1:12" s="218" customFormat="1" ht="12.75" x14ac:dyDescent="0.2">
      <c r="B34" s="217" t="s">
        <v>319</v>
      </c>
      <c r="C34" s="217"/>
      <c r="E34" s="345">
        <v>65</v>
      </c>
      <c r="F34" s="217" t="s">
        <v>320</v>
      </c>
      <c r="G34" s="224">
        <f>(E32*E34)/I12</f>
        <v>8.6666666666666661</v>
      </c>
      <c r="H34" s="217"/>
      <c r="I34" s="224">
        <f>E34</f>
        <v>65</v>
      </c>
      <c r="J34" s="224">
        <f>E32*E34</f>
        <v>650</v>
      </c>
    </row>
    <row r="35" spans="1:12" s="218" customFormat="1" ht="12.75" x14ac:dyDescent="0.2">
      <c r="B35" s="217"/>
      <c r="C35" s="217"/>
      <c r="E35" s="217"/>
      <c r="G35" s="285"/>
      <c r="H35" s="217"/>
    </row>
    <row r="36" spans="1:12" s="218" customFormat="1" ht="12.75" x14ac:dyDescent="0.2">
      <c r="B36" s="204" t="s">
        <v>321</v>
      </c>
      <c r="C36" s="205"/>
      <c r="E36" s="217"/>
      <c r="G36" s="224">
        <f>J36/$I$19</f>
        <v>0</v>
      </c>
      <c r="H36" s="217"/>
      <c r="I36" s="345">
        <v>0</v>
      </c>
      <c r="J36" s="224">
        <f>I36*$E$32</f>
        <v>0</v>
      </c>
    </row>
    <row r="37" spans="1:12" s="218" customFormat="1" ht="12.75" x14ac:dyDescent="0.2">
      <c r="B37" s="204" t="s">
        <v>322</v>
      </c>
      <c r="C37" s="205"/>
      <c r="E37" s="217"/>
      <c r="G37" s="224">
        <f t="shared" ref="G37:G42" si="0">J37/$I$19</f>
        <v>6.666666666666667</v>
      </c>
      <c r="H37" s="217"/>
      <c r="I37" s="345">
        <v>50</v>
      </c>
      <c r="J37" s="224">
        <f t="shared" ref="J37:J42" si="1">I37*$E$32</f>
        <v>500</v>
      </c>
    </row>
    <row r="38" spans="1:12" s="218" customFormat="1" ht="12.75" x14ac:dyDescent="0.2">
      <c r="B38" s="204" t="s">
        <v>323</v>
      </c>
      <c r="C38" s="205"/>
      <c r="E38" s="217"/>
      <c r="G38" s="224">
        <f t="shared" si="0"/>
        <v>0.93333333333333335</v>
      </c>
      <c r="H38" s="217"/>
      <c r="I38" s="345">
        <v>7</v>
      </c>
      <c r="J38" s="224">
        <f t="shared" si="1"/>
        <v>70</v>
      </c>
    </row>
    <row r="39" spans="1:12" s="218" customFormat="1" ht="12.75" x14ac:dyDescent="0.2">
      <c r="B39" s="204" t="s">
        <v>324</v>
      </c>
      <c r="C39" s="205"/>
      <c r="E39" s="217"/>
      <c r="G39" s="224">
        <f t="shared" si="0"/>
        <v>0.53333333333333333</v>
      </c>
      <c r="H39" s="217"/>
      <c r="I39" s="345">
        <v>4</v>
      </c>
      <c r="J39" s="224">
        <f t="shared" si="1"/>
        <v>40</v>
      </c>
    </row>
    <row r="40" spans="1:12" s="218" customFormat="1" ht="12.75" x14ac:dyDescent="0.2">
      <c r="B40" s="204" t="s">
        <v>177</v>
      </c>
      <c r="C40" s="205"/>
      <c r="E40" s="217"/>
      <c r="G40" s="224">
        <f t="shared" si="0"/>
        <v>1.6</v>
      </c>
      <c r="H40" s="217"/>
      <c r="I40" s="345">
        <v>12</v>
      </c>
      <c r="J40" s="224">
        <f t="shared" si="1"/>
        <v>120</v>
      </c>
    </row>
    <row r="41" spans="1:12" s="218" customFormat="1" ht="12.75" x14ac:dyDescent="0.2">
      <c r="B41" s="204" t="s">
        <v>325</v>
      </c>
      <c r="C41" s="205"/>
      <c r="E41" s="217"/>
      <c r="G41" s="224">
        <f t="shared" si="0"/>
        <v>0.53333333333333333</v>
      </c>
      <c r="H41" s="217"/>
      <c r="I41" s="345">
        <v>4</v>
      </c>
      <c r="J41" s="224">
        <f t="shared" si="1"/>
        <v>40</v>
      </c>
    </row>
    <row r="42" spans="1:12" s="218" customFormat="1" ht="12.75" x14ac:dyDescent="0.2">
      <c r="B42" s="204" t="s">
        <v>326</v>
      </c>
      <c r="C42" s="205"/>
      <c r="E42" s="217"/>
      <c r="G42" s="224">
        <f t="shared" si="0"/>
        <v>0.66666666666666663</v>
      </c>
      <c r="H42" s="217"/>
      <c r="I42" s="345">
        <v>5</v>
      </c>
      <c r="J42" s="224">
        <f t="shared" si="1"/>
        <v>50</v>
      </c>
    </row>
    <row r="43" spans="1:12" s="218" customFormat="1" ht="12.75" x14ac:dyDescent="0.2">
      <c r="B43" s="217" t="s">
        <v>327</v>
      </c>
      <c r="C43" s="205"/>
      <c r="E43" s="217"/>
      <c r="G43" s="224">
        <f>SUM(G34:G42)</f>
        <v>19.600000000000005</v>
      </c>
      <c r="H43" s="217"/>
      <c r="I43" s="224">
        <f>SUM(I34:I42)</f>
        <v>147</v>
      </c>
      <c r="J43" s="224">
        <f>SUM(J34:J42)</f>
        <v>1470</v>
      </c>
    </row>
    <row r="44" spans="1:12" s="218" customFormat="1" ht="12.75" x14ac:dyDescent="0.2">
      <c r="B44" s="217"/>
      <c r="C44" s="205"/>
      <c r="E44" s="217"/>
      <c r="G44" s="302"/>
      <c r="H44" s="217"/>
      <c r="I44" s="302"/>
      <c r="J44" s="302"/>
    </row>
    <row r="45" spans="1:12" s="230" customFormat="1" ht="12.75" x14ac:dyDescent="0.2">
      <c r="A45" s="228" t="s">
        <v>328</v>
      </c>
      <c r="B45" s="229"/>
      <c r="C45" s="229"/>
      <c r="D45" s="229"/>
      <c r="E45" s="229"/>
      <c r="F45" s="229"/>
      <c r="G45" s="229"/>
      <c r="H45" s="229"/>
      <c r="I45" s="229"/>
      <c r="J45" s="229"/>
      <c r="K45" s="205"/>
      <c r="L45" s="205"/>
    </row>
    <row r="46" spans="1:12" s="218" customFormat="1" ht="12.75" x14ac:dyDescent="0.2">
      <c r="B46" s="226" t="s">
        <v>329</v>
      </c>
      <c r="C46" s="234"/>
      <c r="D46" s="234"/>
      <c r="E46" s="234"/>
      <c r="F46" s="234"/>
      <c r="G46" s="234"/>
      <c r="J46" s="217" t="s">
        <v>350</v>
      </c>
    </row>
    <row r="47" spans="1:12" s="218" customFormat="1" ht="12.75" x14ac:dyDescent="0.2">
      <c r="B47" s="296"/>
      <c r="J47" s="217" t="s">
        <v>347</v>
      </c>
    </row>
    <row r="48" spans="1:12" s="218" customFormat="1" ht="12.75" x14ac:dyDescent="0.2">
      <c r="B48" s="217" t="s">
        <v>330</v>
      </c>
      <c r="G48" s="224">
        <f>'Pasture Lamb Finish Feed Cost'!J23</f>
        <v>7.5369000000000002</v>
      </c>
      <c r="J48" s="224">
        <f>G48*$I$19</f>
        <v>565.26750000000004</v>
      </c>
    </row>
    <row r="49" spans="1:10" s="218" customFormat="1" ht="12.75" x14ac:dyDescent="0.2">
      <c r="B49" s="217" t="s">
        <v>331</v>
      </c>
      <c r="G49" s="224">
        <f>'Pasture Lamb Finish Feed Cost'!J39</f>
        <v>19.540649999999999</v>
      </c>
      <c r="J49" s="224">
        <f t="shared" ref="J49:J50" si="2">G49*$I$19</f>
        <v>1465.5487499999999</v>
      </c>
    </row>
    <row r="50" spans="1:10" s="218" customFormat="1" ht="12.75" x14ac:dyDescent="0.2">
      <c r="B50" s="217" t="s">
        <v>332</v>
      </c>
      <c r="G50" s="224">
        <f>G43</f>
        <v>19.600000000000005</v>
      </c>
      <c r="J50" s="224">
        <f t="shared" si="2"/>
        <v>1470.0000000000005</v>
      </c>
    </row>
    <row r="51" spans="1:10" s="218" customFormat="1" ht="12.75" x14ac:dyDescent="0.2">
      <c r="B51" s="217" t="s">
        <v>237</v>
      </c>
      <c r="G51" s="224">
        <f>SUM(G48:G50)</f>
        <v>46.677550000000004</v>
      </c>
      <c r="J51" s="224">
        <f>G51*I19</f>
        <v>3500.8162500000003</v>
      </c>
    </row>
    <row r="52" spans="1:10" s="218" customFormat="1" ht="12.75" x14ac:dyDescent="0.2">
      <c r="B52" s="217" t="s">
        <v>333</v>
      </c>
      <c r="G52" s="224">
        <f>G51/G22</f>
        <v>0.46677550000000001</v>
      </c>
      <c r="J52" s="287"/>
    </row>
    <row r="53" spans="1:10" s="218" customFormat="1" ht="12.75" x14ac:dyDescent="0.2">
      <c r="B53" s="217"/>
      <c r="G53" s="302"/>
      <c r="J53" s="287"/>
    </row>
    <row r="54" spans="1:10" s="218" customFormat="1" ht="12.75" x14ac:dyDescent="0.2">
      <c r="A54" s="228" t="s">
        <v>238</v>
      </c>
      <c r="B54" s="227"/>
      <c r="C54" s="227"/>
      <c r="D54" s="227"/>
      <c r="E54" s="227"/>
      <c r="F54" s="227"/>
      <c r="G54" s="227"/>
      <c r="H54" s="227"/>
      <c r="I54" s="227"/>
      <c r="J54" s="227"/>
    </row>
    <row r="55" spans="1:10" s="218" customFormat="1" ht="12.75" x14ac:dyDescent="0.2">
      <c r="B55" s="217" t="s">
        <v>114</v>
      </c>
      <c r="C55" s="217"/>
      <c r="D55" s="217"/>
      <c r="E55" s="217"/>
      <c r="F55" s="217"/>
      <c r="G55" s="217" t="s">
        <v>221</v>
      </c>
      <c r="J55" s="217" t="s">
        <v>239</v>
      </c>
    </row>
    <row r="56" spans="1:10" s="218" customFormat="1" ht="12.75" x14ac:dyDescent="0.2">
      <c r="B56" s="344" t="s">
        <v>240</v>
      </c>
      <c r="G56" s="224">
        <f>J56/$I$12</f>
        <v>0.15333333333333332</v>
      </c>
      <c r="J56" s="345">
        <v>11.5</v>
      </c>
    </row>
    <row r="57" spans="1:10" s="218" customFormat="1" ht="12.75" x14ac:dyDescent="0.2">
      <c r="B57" s="344" t="s">
        <v>241</v>
      </c>
      <c r="G57" s="224">
        <f t="shared" ref="G57:G63" si="3">J57/$I$12</f>
        <v>0.13333333333333333</v>
      </c>
      <c r="J57" s="345">
        <v>10</v>
      </c>
    </row>
    <row r="58" spans="1:10" s="218" customFormat="1" ht="12.75" x14ac:dyDescent="0.2">
      <c r="B58" s="344" t="s">
        <v>242</v>
      </c>
      <c r="G58" s="224">
        <f t="shared" si="3"/>
        <v>0.2</v>
      </c>
      <c r="J58" s="345">
        <v>15</v>
      </c>
    </row>
    <row r="59" spans="1:10" s="218" customFormat="1" ht="12.75" x14ac:dyDescent="0.2">
      <c r="B59" s="344"/>
      <c r="G59" s="224">
        <f t="shared" si="3"/>
        <v>0</v>
      </c>
      <c r="J59" s="345"/>
    </row>
    <row r="60" spans="1:10" s="218" customFormat="1" ht="12.75" x14ac:dyDescent="0.2">
      <c r="B60" s="344" t="s">
        <v>243</v>
      </c>
      <c r="G60" s="224">
        <f t="shared" si="3"/>
        <v>6.6666666666666666E-2</v>
      </c>
      <c r="J60" s="345">
        <v>5</v>
      </c>
    </row>
    <row r="61" spans="1:10" s="218" customFormat="1" ht="12.75" x14ac:dyDescent="0.2">
      <c r="B61" s="344"/>
      <c r="G61" s="224">
        <f t="shared" si="3"/>
        <v>0</v>
      </c>
      <c r="J61" s="345"/>
    </row>
    <row r="62" spans="1:10" s="218" customFormat="1" ht="12.75" x14ac:dyDescent="0.2">
      <c r="B62" s="344"/>
      <c r="G62" s="224">
        <f t="shared" si="3"/>
        <v>0</v>
      </c>
      <c r="J62" s="345">
        <v>0</v>
      </c>
    </row>
    <row r="63" spans="1:10" s="218" customFormat="1" ht="12.75" x14ac:dyDescent="0.2">
      <c r="B63" s="344"/>
      <c r="G63" s="224">
        <f t="shared" si="3"/>
        <v>0</v>
      </c>
      <c r="J63" s="345"/>
    </row>
    <row r="64" spans="1:10" s="218" customFormat="1" ht="12.75" x14ac:dyDescent="0.2">
      <c r="B64" s="217" t="s">
        <v>69</v>
      </c>
      <c r="G64" s="224">
        <f>SUM(G56:G63)</f>
        <v>0.55333333333333334</v>
      </c>
      <c r="J64" s="224">
        <f>SUM(J56:J63)</f>
        <v>41.5</v>
      </c>
    </row>
    <row r="65" spans="1:13" s="218" customFormat="1" ht="12.75" x14ac:dyDescent="0.2"/>
    <row r="66" spans="1:13" s="218" customFormat="1" ht="12.75" x14ac:dyDescent="0.2">
      <c r="A66" s="239" t="s">
        <v>244</v>
      </c>
      <c r="B66" s="227"/>
      <c r="C66" s="227"/>
      <c r="D66" s="227"/>
      <c r="E66" s="227"/>
      <c r="F66" s="227"/>
      <c r="G66" s="227"/>
      <c r="H66" s="227"/>
      <c r="I66" s="227"/>
      <c r="J66" s="227"/>
    </row>
    <row r="67" spans="1:13" s="218" customFormat="1" ht="12.75" x14ac:dyDescent="0.2">
      <c r="A67" s="217"/>
      <c r="G67" s="217" t="s">
        <v>221</v>
      </c>
      <c r="J67" s="217" t="s">
        <v>239</v>
      </c>
    </row>
    <row r="68" spans="1:13" s="218" customFormat="1" ht="12.75" x14ac:dyDescent="0.2">
      <c r="A68" s="205"/>
      <c r="B68" s="204" t="s">
        <v>245</v>
      </c>
      <c r="C68" s="208">
        <v>5</v>
      </c>
      <c r="D68" s="209" t="s">
        <v>246</v>
      </c>
      <c r="E68" s="210"/>
      <c r="F68" s="211"/>
      <c r="G68" s="318">
        <f>(G12+G13)*(C68/100)</f>
        <v>16.654500000000002</v>
      </c>
      <c r="H68" s="212"/>
      <c r="I68" s="205"/>
      <c r="J68" s="272">
        <f>G68*$I$12</f>
        <v>1249.0875000000001</v>
      </c>
    </row>
    <row r="69" spans="1:13" s="218" customFormat="1" ht="12.75" x14ac:dyDescent="0.2">
      <c r="A69" s="205"/>
      <c r="B69" s="204" t="s">
        <v>247</v>
      </c>
      <c r="C69" s="246">
        <f>G19</f>
        <v>150</v>
      </c>
      <c r="D69" s="209" t="s">
        <v>248</v>
      </c>
      <c r="E69" s="243">
        <v>6</v>
      </c>
      <c r="F69" s="213" t="s">
        <v>249</v>
      </c>
      <c r="G69" s="318">
        <f>C69*(E69/100)*(G$23/365)</f>
        <v>3.032876712328767</v>
      </c>
      <c r="H69" s="235" t="s">
        <v>250</v>
      </c>
      <c r="I69" s="205"/>
      <c r="J69" s="272">
        <f t="shared" ref="J69:J78" si="4">G69*$I$12</f>
        <v>227.46575342465752</v>
      </c>
    </row>
    <row r="70" spans="1:13" s="218" customFormat="1" ht="12.75" x14ac:dyDescent="0.2">
      <c r="A70" s="205"/>
      <c r="B70" s="204" t="s">
        <v>251</v>
      </c>
      <c r="C70" s="247">
        <f>G51</f>
        <v>46.677550000000004</v>
      </c>
      <c r="D70" s="209" t="s">
        <v>248</v>
      </c>
      <c r="E70" s="244">
        <v>6</v>
      </c>
      <c r="F70" s="213" t="s">
        <v>249</v>
      </c>
      <c r="G70" s="318">
        <f>(C70)*(E70/100)*(G23/365)</f>
        <v>0.94378169589041094</v>
      </c>
      <c r="H70" s="235" t="s">
        <v>250</v>
      </c>
      <c r="I70" s="205"/>
      <c r="J70" s="272">
        <f t="shared" si="4"/>
        <v>70.783627191780823</v>
      </c>
      <c r="L70" s="217" t="s">
        <v>252</v>
      </c>
      <c r="M70" s="217"/>
    </row>
    <row r="71" spans="1:13" s="218" customFormat="1" ht="12.75" x14ac:dyDescent="0.2">
      <c r="A71" s="205"/>
      <c r="B71" s="204" t="s">
        <v>56</v>
      </c>
      <c r="C71" s="236"/>
      <c r="D71" s="209"/>
      <c r="E71" s="248"/>
      <c r="F71" s="213"/>
      <c r="G71" s="318">
        <f>J71/$I$12</f>
        <v>1</v>
      </c>
      <c r="H71" s="209" t="s">
        <v>253</v>
      </c>
      <c r="I71" s="205"/>
      <c r="J71" s="346">
        <v>75</v>
      </c>
    </row>
    <row r="72" spans="1:13" s="218" customFormat="1" ht="12.75" x14ac:dyDescent="0.2">
      <c r="A72" s="205"/>
      <c r="B72" s="204" t="s">
        <v>82</v>
      </c>
      <c r="C72" s="236"/>
      <c r="D72" s="209"/>
      <c r="E72" s="240"/>
      <c r="F72" s="213"/>
      <c r="G72" s="318">
        <f t="shared" ref="G72:G77" si="5">J72/$I$12</f>
        <v>5</v>
      </c>
      <c r="H72" s="209" t="s">
        <v>253</v>
      </c>
      <c r="I72" s="205"/>
      <c r="J72" s="346">
        <v>375</v>
      </c>
      <c r="L72" s="344">
        <v>2</v>
      </c>
      <c r="M72" s="217" t="s">
        <v>254</v>
      </c>
    </row>
    <row r="73" spans="1:13" s="218" customFormat="1" ht="12.75" x14ac:dyDescent="0.2">
      <c r="A73" s="205"/>
      <c r="B73" s="204" t="s">
        <v>255</v>
      </c>
      <c r="C73" s="205"/>
      <c r="D73" s="206"/>
      <c r="E73" s="241"/>
      <c r="F73" s="213"/>
      <c r="G73" s="318">
        <f t="shared" si="5"/>
        <v>3</v>
      </c>
      <c r="H73" s="216" t="s">
        <v>253</v>
      </c>
      <c r="I73" s="205"/>
      <c r="J73" s="346">
        <v>225</v>
      </c>
      <c r="L73" s="345">
        <v>35</v>
      </c>
      <c r="M73" s="217" t="s">
        <v>256</v>
      </c>
    </row>
    <row r="74" spans="1:13" s="218" customFormat="1" ht="12.75" x14ac:dyDescent="0.2">
      <c r="A74" s="205"/>
      <c r="B74" s="204" t="s">
        <v>257</v>
      </c>
      <c r="C74" s="205"/>
      <c r="D74" s="206"/>
      <c r="E74" s="241"/>
      <c r="F74" s="209"/>
      <c r="G74" s="318">
        <f t="shared" si="5"/>
        <v>5</v>
      </c>
      <c r="H74" s="216" t="s">
        <v>253</v>
      </c>
      <c r="I74" s="205"/>
      <c r="J74" s="346">
        <v>375</v>
      </c>
      <c r="L74" s="224">
        <f>(L72*L73)</f>
        <v>70</v>
      </c>
      <c r="M74" s="217" t="s">
        <v>359</v>
      </c>
    </row>
    <row r="75" spans="1:13" s="218" customFormat="1" ht="12.75" x14ac:dyDescent="0.2">
      <c r="A75" s="205"/>
      <c r="B75" s="204" t="s">
        <v>259</v>
      </c>
      <c r="C75" s="206"/>
      <c r="D75" s="206"/>
      <c r="E75" s="241"/>
      <c r="G75" s="317">
        <f t="shared" si="5"/>
        <v>3.5</v>
      </c>
      <c r="H75" s="213" t="s">
        <v>334</v>
      </c>
      <c r="I75" s="205"/>
      <c r="J75" s="346">
        <v>262.5</v>
      </c>
    </row>
    <row r="76" spans="1:13" s="218" customFormat="1" ht="12.75" x14ac:dyDescent="0.2">
      <c r="A76" s="205"/>
      <c r="B76" s="204" t="s">
        <v>260</v>
      </c>
      <c r="C76" s="205"/>
      <c r="D76" s="205"/>
      <c r="E76" s="240"/>
      <c r="G76" s="317">
        <f t="shared" si="5"/>
        <v>0</v>
      </c>
      <c r="H76" s="209" t="s">
        <v>334</v>
      </c>
      <c r="I76" s="205"/>
      <c r="J76" s="346">
        <v>0</v>
      </c>
    </row>
    <row r="77" spans="1:13" s="218" customFormat="1" ht="12.75" x14ac:dyDescent="0.2">
      <c r="A77" s="205"/>
      <c r="B77" s="204" t="s">
        <v>261</v>
      </c>
      <c r="C77" s="205"/>
      <c r="D77" s="205"/>
      <c r="E77" s="241"/>
      <c r="G77" s="317">
        <f t="shared" si="5"/>
        <v>0</v>
      </c>
      <c r="H77" s="209" t="s">
        <v>262</v>
      </c>
      <c r="I77" s="205"/>
      <c r="J77" s="346">
        <v>0</v>
      </c>
    </row>
    <row r="78" spans="1:13" s="218" customFormat="1" ht="12.75" x14ac:dyDescent="0.2">
      <c r="A78" s="205"/>
      <c r="B78" s="217" t="s">
        <v>263</v>
      </c>
      <c r="C78" s="206"/>
      <c r="D78" s="206"/>
      <c r="E78" s="206"/>
      <c r="F78" s="206"/>
      <c r="G78" s="319">
        <f>SUM(G68:G77)</f>
        <v>38.131158408219179</v>
      </c>
      <c r="H78" s="212"/>
      <c r="I78" s="205"/>
      <c r="J78" s="272">
        <f t="shared" si="4"/>
        <v>2859.8368806164385</v>
      </c>
    </row>
    <row r="79" spans="1:13" s="218" customFormat="1" ht="12.75" x14ac:dyDescent="0.2"/>
    <row r="80" spans="1:13" s="218" customFormat="1" ht="12.75" x14ac:dyDescent="0.2">
      <c r="A80" s="239" t="s">
        <v>264</v>
      </c>
      <c r="B80" s="227"/>
      <c r="C80" s="227"/>
      <c r="D80" s="227"/>
      <c r="E80" s="227"/>
      <c r="F80" s="227"/>
      <c r="G80" s="227"/>
      <c r="H80" s="227"/>
      <c r="I80" s="227"/>
      <c r="J80" s="227"/>
    </row>
    <row r="81" spans="1:10" s="218" customFormat="1" ht="12.75" x14ac:dyDescent="0.2">
      <c r="B81" s="234" t="s">
        <v>373</v>
      </c>
      <c r="C81" s="234"/>
      <c r="D81" s="234"/>
      <c r="E81" s="234"/>
      <c r="F81" s="234"/>
      <c r="G81" s="234"/>
    </row>
    <row r="82" spans="1:10" s="218" customFormat="1" ht="12.75" x14ac:dyDescent="0.2">
      <c r="A82" s="214"/>
      <c r="B82" s="204" t="s">
        <v>375</v>
      </c>
      <c r="C82" s="245">
        <v>0.25</v>
      </c>
      <c r="D82" s="204" t="s">
        <v>265</v>
      </c>
      <c r="E82" s="242">
        <f>'Pasture Lamb Finish Feed Cost'!C12</f>
        <v>21</v>
      </c>
      <c r="F82" s="215" t="s">
        <v>228</v>
      </c>
      <c r="G82" s="238">
        <f>C82*E82</f>
        <v>5.25</v>
      </c>
      <c r="H82" s="216" t="s">
        <v>253</v>
      </c>
      <c r="I82" s="205"/>
      <c r="J82" s="272">
        <f t="shared" ref="J82" si="6">G82*$I$12</f>
        <v>393.75</v>
      </c>
    </row>
    <row r="83" spans="1:10" s="218" customFormat="1" ht="12.75" x14ac:dyDescent="0.2">
      <c r="A83" s="214"/>
      <c r="B83" s="204" t="s">
        <v>376</v>
      </c>
      <c r="C83" s="303"/>
      <c r="D83" s="204"/>
      <c r="E83" s="304"/>
      <c r="F83" s="215"/>
      <c r="G83" s="216"/>
      <c r="H83" s="216"/>
      <c r="I83" s="205"/>
      <c r="J83" s="305"/>
    </row>
    <row r="84" spans="1:10" s="218" customFormat="1" ht="12.75" x14ac:dyDescent="0.2">
      <c r="A84" s="239" t="s">
        <v>266</v>
      </c>
      <c r="B84" s="227"/>
      <c r="C84" s="227"/>
      <c r="D84" s="227"/>
      <c r="E84" s="227"/>
      <c r="F84" s="227"/>
      <c r="G84" s="227"/>
      <c r="H84" s="227"/>
      <c r="I84" s="227"/>
      <c r="J84" s="227"/>
    </row>
    <row r="85" spans="1:10" s="218" customFormat="1" ht="12.75" x14ac:dyDescent="0.2">
      <c r="B85" s="234" t="s">
        <v>377</v>
      </c>
      <c r="C85" s="234"/>
      <c r="D85" s="234"/>
      <c r="E85" s="234"/>
      <c r="F85" s="234"/>
      <c r="G85" s="234"/>
      <c r="H85" s="234"/>
      <c r="I85" s="234"/>
    </row>
    <row r="86" spans="1:10" s="218" customFormat="1" ht="12.75" x14ac:dyDescent="0.2">
      <c r="B86" s="217" t="s">
        <v>266</v>
      </c>
      <c r="G86" s="268">
        <f>(G51+G64+G78+G82)/G22</f>
        <v>0.90612041741552518</v>
      </c>
      <c r="H86" s="217" t="s">
        <v>267</v>
      </c>
    </row>
    <row r="87" spans="1:10" s="218" customFormat="1" ht="12.75" x14ac:dyDescent="0.2">
      <c r="B87" s="217"/>
      <c r="G87" s="287"/>
      <c r="H87" s="217"/>
    </row>
    <row r="88" spans="1:10" s="218" customFormat="1" ht="12.75" x14ac:dyDescent="0.2">
      <c r="A88" s="239" t="s">
        <v>268</v>
      </c>
      <c r="B88" s="227"/>
      <c r="C88" s="227"/>
      <c r="D88" s="227"/>
      <c r="E88" s="227"/>
      <c r="F88" s="227"/>
      <c r="G88" s="227"/>
      <c r="H88" s="227"/>
      <c r="I88" s="227"/>
      <c r="J88" s="227"/>
    </row>
    <row r="89" spans="1:10" s="218" customFormat="1" ht="12.75" x14ac:dyDescent="0.2">
      <c r="B89" s="217" t="s">
        <v>269</v>
      </c>
      <c r="G89" s="224">
        <f>G12+G13</f>
        <v>333.09000000000003</v>
      </c>
      <c r="H89" s="217" t="s">
        <v>253</v>
      </c>
      <c r="J89" s="224">
        <f t="shared" ref="J89:J93" si="7">G89*$I$12</f>
        <v>24981.750000000004</v>
      </c>
    </row>
    <row r="90" spans="1:10" s="218" customFormat="1" ht="12.75" x14ac:dyDescent="0.2">
      <c r="B90" s="217" t="s">
        <v>335</v>
      </c>
      <c r="G90" s="224">
        <f>G19+G51+G64+G78-G34</f>
        <v>226.69537507488585</v>
      </c>
      <c r="H90" s="217" t="s">
        <v>253</v>
      </c>
      <c r="J90" s="224">
        <f t="shared" si="7"/>
        <v>17002.15313061644</v>
      </c>
    </row>
    <row r="91" spans="1:10" s="218" customFormat="1" ht="12.75" x14ac:dyDescent="0.2">
      <c r="B91" s="217" t="s">
        <v>271</v>
      </c>
      <c r="G91" s="268">
        <f>G89-G90</f>
        <v>106.39462492511419</v>
      </c>
      <c r="H91" s="217" t="s">
        <v>253</v>
      </c>
      <c r="J91" s="268">
        <f t="shared" si="7"/>
        <v>7979.5968693835639</v>
      </c>
    </row>
    <row r="92" spans="1:10" s="218" customFormat="1" ht="12.75" x14ac:dyDescent="0.2">
      <c r="B92" s="217" t="s">
        <v>272</v>
      </c>
      <c r="G92" s="268">
        <f>G82+G34</f>
        <v>13.916666666666666</v>
      </c>
      <c r="H92" s="217" t="s">
        <v>253</v>
      </c>
      <c r="J92" s="224">
        <f t="shared" si="7"/>
        <v>1043.75</v>
      </c>
    </row>
    <row r="93" spans="1:10" s="218" customFormat="1" ht="12.75" x14ac:dyDescent="0.2">
      <c r="B93" s="217" t="s">
        <v>273</v>
      </c>
      <c r="G93" s="268">
        <f>G91-G92</f>
        <v>92.477958258447515</v>
      </c>
      <c r="H93" s="217" t="s">
        <v>253</v>
      </c>
      <c r="J93" s="268">
        <f t="shared" si="7"/>
        <v>6935.8468693835639</v>
      </c>
    </row>
    <row r="94" spans="1:10" s="218" customFormat="1" ht="12.75" x14ac:dyDescent="0.2">
      <c r="B94" s="217"/>
      <c r="G94" s="302"/>
      <c r="H94" s="217"/>
      <c r="J94" s="302"/>
    </row>
    <row r="95" spans="1:10" s="218" customFormat="1" ht="12.75" x14ac:dyDescent="0.2">
      <c r="A95" s="239" t="s">
        <v>274</v>
      </c>
      <c r="B95" s="227"/>
      <c r="C95" s="227"/>
      <c r="D95" s="227"/>
      <c r="E95" s="227"/>
      <c r="F95" s="227"/>
      <c r="G95" s="227"/>
      <c r="H95" s="227"/>
      <c r="I95" s="227"/>
      <c r="J95" s="227"/>
    </row>
    <row r="96" spans="1:10" s="218" customFormat="1" ht="12.75" x14ac:dyDescent="0.2">
      <c r="B96" s="217" t="s">
        <v>275</v>
      </c>
      <c r="G96" s="224">
        <f>(G90+G92)/C12</f>
        <v>1.6040802782770167</v>
      </c>
      <c r="H96" s="217" t="s">
        <v>212</v>
      </c>
    </row>
    <row r="97" spans="2:19" s="218" customFormat="1" ht="12.75" x14ac:dyDescent="0.2">
      <c r="B97" s="217" t="s">
        <v>276</v>
      </c>
      <c r="G97" s="224">
        <f>(G90+G92-G75)/C12</f>
        <v>1.5807469449436833</v>
      </c>
      <c r="H97" s="217" t="s">
        <v>212</v>
      </c>
    </row>
    <row r="98" spans="2:19" s="218" customFormat="1" ht="12.75" x14ac:dyDescent="0.2"/>
    <row r="99" spans="2:19" s="218" customFormat="1" ht="12.75" x14ac:dyDescent="0.2">
      <c r="B99" s="217" t="s">
        <v>277</v>
      </c>
      <c r="G99" s="224">
        <f>(G89-G51-G64-G78-G82)/C19</f>
        <v>4.8495591651689507</v>
      </c>
      <c r="H99" s="217" t="s">
        <v>336</v>
      </c>
    </row>
    <row r="100" spans="2:19" s="218" customFormat="1" ht="12.75" x14ac:dyDescent="0.2"/>
    <row r="101" spans="2:19" s="218" customFormat="1" ht="12.75" x14ac:dyDescent="0.2">
      <c r="K101" s="219" t="s">
        <v>354</v>
      </c>
      <c r="L101" s="328"/>
      <c r="M101" s="328"/>
      <c r="N101" s="328"/>
      <c r="O101" s="328"/>
      <c r="P101" s="328"/>
      <c r="Q101" s="328"/>
      <c r="R101" s="328"/>
      <c r="S101" s="328"/>
    </row>
    <row r="102" spans="2:19" s="218" customFormat="1" ht="12.75" x14ac:dyDescent="0.2">
      <c r="K102" s="217" t="s">
        <v>188</v>
      </c>
      <c r="L102" s="217"/>
      <c r="M102" s="217"/>
      <c r="N102" s="217"/>
      <c r="O102" s="217"/>
      <c r="P102" s="217"/>
      <c r="Q102" s="217"/>
      <c r="R102" s="217"/>
      <c r="S102" s="217"/>
    </row>
    <row r="103" spans="2:19" s="218" customFormat="1" ht="12.75" x14ac:dyDescent="0.2">
      <c r="L103" s="217" t="s">
        <v>352</v>
      </c>
      <c r="M103" s="329">
        <v>-0.15</v>
      </c>
      <c r="N103" s="329">
        <v>-0.1</v>
      </c>
      <c r="O103" s="329">
        <v>-0.05</v>
      </c>
      <c r="P103" s="330"/>
      <c r="Q103" s="329">
        <v>0.05</v>
      </c>
      <c r="R103" s="329">
        <v>0.1</v>
      </c>
      <c r="S103" s="329">
        <v>0.15</v>
      </c>
    </row>
    <row r="104" spans="2:19" s="218" customFormat="1" ht="12.75" x14ac:dyDescent="0.2">
      <c r="L104" s="286" t="s">
        <v>353</v>
      </c>
      <c r="M104" s="331">
        <f>P104*(1+M103)</f>
        <v>1.3634682365354642</v>
      </c>
      <c r="N104" s="331">
        <f>P104*(1+N103)</f>
        <v>1.4436722504493151</v>
      </c>
      <c r="O104" s="331">
        <f>P104*(1+O103)</f>
        <v>1.5238762643631658</v>
      </c>
      <c r="P104" s="332">
        <f>G96</f>
        <v>1.6040802782770167</v>
      </c>
      <c r="Q104" s="331">
        <f>P104*(1+Q103)</f>
        <v>1.6842842921908676</v>
      </c>
      <c r="R104" s="331">
        <f>P104*(1+R103)</f>
        <v>1.7644883061047185</v>
      </c>
      <c r="S104" s="331">
        <f>P104*(1+S103)</f>
        <v>1.844692320018569</v>
      </c>
    </row>
    <row r="105" spans="2:19" x14ac:dyDescent="0.25">
      <c r="K105" s="333">
        <v>-0.15</v>
      </c>
      <c r="L105" s="331">
        <f>$L$108*(1+K105)</f>
        <v>0.26450611666666668</v>
      </c>
      <c r="M105" s="354">
        <f>$M$104-L105-(($G$19+$G$64+$G$78+$G$82)/$C$12)</f>
        <v>-0.19393449174155242</v>
      </c>
      <c r="N105" s="354">
        <f>$N$104-L105-(($G$19+$G$64+$G$78+$G$82)/$C$12)</f>
        <v>-0.11373047782770151</v>
      </c>
      <c r="O105" s="354">
        <f>$O$104-L105-(($G$19+$G$64+$G$78+$G$82)/$C$12)</f>
        <v>-3.3526463913850835E-2</v>
      </c>
      <c r="P105" s="354">
        <f t="shared" ref="P105:P111" si="8">$P$104-L105-(($G$19+$G$64+$G$78+$G$82)/$C$12)</f>
        <v>4.6677550000000068E-2</v>
      </c>
      <c r="Q105" s="354">
        <f>$Q$104-L105-(($G$19+$G$64+$G$78+$G$82)/$C$12)</f>
        <v>0.12688156391385097</v>
      </c>
      <c r="R105" s="354">
        <f>$R$104-L105-(($G$19+$G$64+$G$78+$G$82)/$C$12)</f>
        <v>0.20708557782770187</v>
      </c>
      <c r="S105" s="354">
        <f>$S$104-L105-(($G$19+$G$64+$G$78+$G$82)/$C$12)</f>
        <v>0.28728959174155233</v>
      </c>
    </row>
    <row r="106" spans="2:19" x14ac:dyDescent="0.25">
      <c r="K106" s="333">
        <v>-0.1</v>
      </c>
      <c r="L106" s="331">
        <f>$L$108*(1+K106)</f>
        <v>0.28006530000000002</v>
      </c>
      <c r="M106" s="354">
        <f t="shared" ref="M106:M111" si="9">$M$104-L106-(($G$19+$G$64+$G$78+$G$82)/$C$12)</f>
        <v>-0.2094936750748857</v>
      </c>
      <c r="N106" s="354">
        <f t="shared" ref="N106:N111" si="10">$N$104-L106-(($G$19+$G$64+$G$78+$G$82)/$C$12)</f>
        <v>-0.1292896611610348</v>
      </c>
      <c r="O106" s="354">
        <f t="shared" ref="O106:O111" si="11">$O$104-L106-(($G$19+$G$64+$G$78+$G$82)/$C$12)</f>
        <v>-4.9085647247184117E-2</v>
      </c>
      <c r="P106" s="354">
        <f t="shared" si="8"/>
        <v>3.1118366666666786E-2</v>
      </c>
      <c r="Q106" s="354">
        <f t="shared" ref="Q106:Q111" si="12">$Q$104-L106-(($G$19+$G$64+$G$78+$G$82)/$C$12)</f>
        <v>0.11132238058051769</v>
      </c>
      <c r="R106" s="354">
        <f t="shared" ref="R106:R111" si="13">$R$104-L106-(($G$19+$G$64+$G$78+$G$82)/$C$12)</f>
        <v>0.19152639449436859</v>
      </c>
      <c r="S106" s="354">
        <f t="shared" ref="S106:S111" si="14">$S$104-L106-(($G$19+$G$64+$G$78+$G$82)/$C$12)</f>
        <v>0.27173040840821905</v>
      </c>
    </row>
    <row r="107" spans="2:19" x14ac:dyDescent="0.25">
      <c r="K107" s="333">
        <v>-0.05</v>
      </c>
      <c r="L107" s="331">
        <f>$L$108*(1+K107)</f>
        <v>0.29562448333333335</v>
      </c>
      <c r="M107" s="354">
        <f t="shared" si="9"/>
        <v>-0.2250528584082192</v>
      </c>
      <c r="N107" s="354">
        <f t="shared" si="10"/>
        <v>-0.14484884449436808</v>
      </c>
      <c r="O107" s="354">
        <f t="shared" si="11"/>
        <v>-6.4644830580517398E-2</v>
      </c>
      <c r="P107" s="354">
        <f t="shared" si="8"/>
        <v>1.5559183333333282E-2</v>
      </c>
      <c r="Q107" s="354">
        <f t="shared" si="12"/>
        <v>9.5763197247184406E-2</v>
      </c>
      <c r="R107" s="354">
        <f t="shared" si="13"/>
        <v>0.17596721116103509</v>
      </c>
      <c r="S107" s="354">
        <f t="shared" si="14"/>
        <v>0.25617122507488577</v>
      </c>
    </row>
    <row r="108" spans="2:19" x14ac:dyDescent="0.25">
      <c r="K108" s="334"/>
      <c r="L108" s="332">
        <f>G51/C12</f>
        <v>0.31118366666666669</v>
      </c>
      <c r="M108" s="354">
        <f t="shared" si="9"/>
        <v>-0.24061204174155248</v>
      </c>
      <c r="N108" s="354">
        <f t="shared" si="10"/>
        <v>-0.16040802782770158</v>
      </c>
      <c r="O108" s="354">
        <f t="shared" si="11"/>
        <v>-8.0204013913850902E-2</v>
      </c>
      <c r="P108" s="332">
        <f t="shared" si="8"/>
        <v>0</v>
      </c>
      <c r="Q108" s="354">
        <f t="shared" si="12"/>
        <v>8.0204013913850902E-2</v>
      </c>
      <c r="R108" s="354">
        <f t="shared" si="13"/>
        <v>0.1604080278277018</v>
      </c>
      <c r="S108" s="354">
        <f t="shared" si="14"/>
        <v>0.24061204174155226</v>
      </c>
    </row>
    <row r="109" spans="2:19" x14ac:dyDescent="0.25">
      <c r="K109" s="333">
        <v>0.05</v>
      </c>
      <c r="L109" s="331">
        <f>$L$108*(1+K109)</f>
        <v>0.32674285000000003</v>
      </c>
      <c r="M109" s="354">
        <f t="shared" si="9"/>
        <v>-0.25617122507488577</v>
      </c>
      <c r="N109" s="354">
        <f t="shared" si="10"/>
        <v>-0.17596721116103486</v>
      </c>
      <c r="O109" s="354">
        <f t="shared" si="11"/>
        <v>-9.5763197247184184E-2</v>
      </c>
      <c r="P109" s="354">
        <f t="shared" si="8"/>
        <v>-1.5559183333333282E-2</v>
      </c>
      <c r="Q109" s="354">
        <f t="shared" si="12"/>
        <v>6.464483058051762E-2</v>
      </c>
      <c r="R109" s="354">
        <f t="shared" si="13"/>
        <v>0.14484884449436852</v>
      </c>
      <c r="S109" s="354">
        <f t="shared" si="14"/>
        <v>0.22505285840821898</v>
      </c>
    </row>
    <row r="110" spans="2:19" x14ac:dyDescent="0.25">
      <c r="K110" s="333">
        <v>0.1</v>
      </c>
      <c r="L110" s="331">
        <f>$L$108*(1+K110)</f>
        <v>0.34230203333333337</v>
      </c>
      <c r="M110" s="354">
        <f t="shared" si="9"/>
        <v>-0.27173040840821905</v>
      </c>
      <c r="N110" s="354">
        <f t="shared" si="10"/>
        <v>-0.19152639449436815</v>
      </c>
      <c r="O110" s="354">
        <f t="shared" si="11"/>
        <v>-0.11132238058051747</v>
      </c>
      <c r="P110" s="354">
        <f t="shared" si="8"/>
        <v>-3.1118366666666564E-2</v>
      </c>
      <c r="Q110" s="354">
        <f t="shared" si="12"/>
        <v>4.9085647247184339E-2</v>
      </c>
      <c r="R110" s="354">
        <f t="shared" si="13"/>
        <v>0.12928966116103524</v>
      </c>
      <c r="S110" s="354">
        <f t="shared" si="14"/>
        <v>0.2094936750748857</v>
      </c>
    </row>
    <row r="111" spans="2:19" x14ac:dyDescent="0.25">
      <c r="K111" s="333">
        <v>0.15</v>
      </c>
      <c r="L111" s="331">
        <f>$L$108*(1+K111)</f>
        <v>0.35786121666666665</v>
      </c>
      <c r="M111" s="354">
        <f t="shared" si="9"/>
        <v>-0.28728959174155233</v>
      </c>
      <c r="N111" s="354">
        <f t="shared" si="10"/>
        <v>-0.20708557782770143</v>
      </c>
      <c r="O111" s="354">
        <f t="shared" si="11"/>
        <v>-0.12688156391385075</v>
      </c>
      <c r="P111" s="354">
        <f t="shared" si="8"/>
        <v>-4.6677549999999846E-2</v>
      </c>
      <c r="Q111" s="354">
        <f t="shared" si="12"/>
        <v>3.3526463913851057E-2</v>
      </c>
      <c r="R111" s="354">
        <f t="shared" si="13"/>
        <v>0.11373047782770196</v>
      </c>
      <c r="S111" s="354">
        <f t="shared" si="14"/>
        <v>0.19393449174155242</v>
      </c>
    </row>
    <row r="112" spans="2:19" ht="18.75" x14ac:dyDescent="0.3">
      <c r="B112" s="335" t="s">
        <v>357</v>
      </c>
      <c r="C112" s="84" t="s">
        <v>360</v>
      </c>
    </row>
    <row r="113" spans="2:3" ht="18.75" x14ac:dyDescent="0.3">
      <c r="C113" s="336" t="s">
        <v>362</v>
      </c>
    </row>
    <row r="114" spans="2:3" ht="18.75" x14ac:dyDescent="0.3">
      <c r="B114" s="335" t="s">
        <v>363</v>
      </c>
    </row>
    <row r="116" spans="2:3" ht="18.75" x14ac:dyDescent="0.3">
      <c r="B116" s="54" t="s">
        <v>378</v>
      </c>
    </row>
  </sheetData>
  <sheetProtection algorithmName="SHA-512" hashValue="np788wxVrqv++0ZAfwXINutYSt0IvoIpsOt/Ohb0gh+55ce5oHkNA1Z78sG+AhKdPoI+p6YQng1y5mUsWzNFvQ==" saltValue="iJckGb3qtKqsWYHceOe+jA==" spinCount="100000" sheet="1" objects="1" scenarios="1"/>
  <hyperlinks>
    <hyperlink ref="E30" r:id="rId1" xr:uid="{9CE96378-B25C-4346-8B9D-88952DB1A4AB}"/>
  </hyperlinks>
  <pageMargins left="0.7" right="0.7" top="0.75" bottom="0.75" header="0.3" footer="0.3"/>
  <pageSetup scale="99" fitToHeight="0" orientation="landscape" verticalDpi="0" r:id="rId2"/>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D96E1F-625E-424E-A867-63C10CDDD21C}">
  <sheetPr>
    <tabColor rgb="FFCCCCFF"/>
  </sheetPr>
  <dimension ref="A6:M52"/>
  <sheetViews>
    <sheetView zoomScale="120" zoomScaleNormal="120" workbookViewId="0">
      <selection activeCell="C12" sqref="C12"/>
    </sheetView>
  </sheetViews>
  <sheetFormatPr defaultRowHeight="15" x14ac:dyDescent="0.25"/>
  <cols>
    <col min="2" max="2" width="29.140625" customWidth="1"/>
    <col min="3" max="3" width="9.28515625" bestFit="1" customWidth="1"/>
    <col min="4" max="4" width="11.42578125" customWidth="1"/>
    <col min="5" max="5" width="11.5703125" customWidth="1"/>
    <col min="6" max="6" width="11.85546875" customWidth="1"/>
    <col min="7" max="7" width="10.85546875" customWidth="1"/>
    <col min="8" max="8" width="10.28515625" customWidth="1"/>
    <col min="9" max="9" width="13.42578125" customWidth="1"/>
    <col min="10" max="10" width="9.28515625" bestFit="1" customWidth="1"/>
  </cols>
  <sheetData>
    <row r="6" spans="1:12" s="218" customFormat="1" ht="12.75" x14ac:dyDescent="0.2">
      <c r="A6" s="204" t="s">
        <v>278</v>
      </c>
      <c r="B6" s="249"/>
      <c r="C6" s="249"/>
      <c r="D6" s="249"/>
      <c r="E6" s="249"/>
      <c r="F6" s="249"/>
      <c r="G6" s="249"/>
      <c r="H6" s="249"/>
      <c r="I6" s="249"/>
      <c r="J6" s="249"/>
      <c r="K6" s="249"/>
    </row>
    <row r="7" spans="1:12" s="218" customFormat="1" ht="12.75" x14ac:dyDescent="0.2">
      <c r="A7" s="234"/>
      <c r="B7" s="266" t="s">
        <v>337</v>
      </c>
      <c r="C7" s="267"/>
      <c r="D7" s="267"/>
      <c r="E7" s="267"/>
      <c r="F7" s="267"/>
      <c r="G7" s="267"/>
      <c r="H7" s="267"/>
      <c r="I7" s="267"/>
      <c r="J7" s="267"/>
      <c r="K7" s="205"/>
    </row>
    <row r="8" spans="1:12" s="218" customFormat="1" ht="12.75" x14ac:dyDescent="0.2">
      <c r="A8" s="234"/>
      <c r="B8" s="266" t="s">
        <v>338</v>
      </c>
      <c r="C8" s="267"/>
      <c r="D8" s="267"/>
      <c r="E8" s="267"/>
      <c r="F8" s="267"/>
      <c r="G8" s="267"/>
      <c r="H8" s="267"/>
      <c r="I8" s="267"/>
      <c r="J8" s="267"/>
      <c r="K8" s="205"/>
    </row>
    <row r="9" spans="1:12" s="218" customFormat="1" ht="12.75" x14ac:dyDescent="0.2">
      <c r="A9" s="234"/>
      <c r="B9" s="266" t="s">
        <v>339</v>
      </c>
      <c r="C9" s="267"/>
      <c r="D9" s="267"/>
      <c r="E9" s="267"/>
      <c r="F9" s="267"/>
      <c r="G9" s="267"/>
      <c r="H9" s="267"/>
      <c r="I9" s="267"/>
      <c r="J9" s="267"/>
      <c r="K9" s="205"/>
    </row>
    <row r="10" spans="1:12" s="218" customFormat="1" ht="12.75" x14ac:dyDescent="0.2">
      <c r="B10" s="290"/>
      <c r="C10" s="205"/>
      <c r="D10" s="205"/>
      <c r="E10" s="205"/>
      <c r="F10" s="205"/>
      <c r="G10" s="205"/>
      <c r="H10" s="205"/>
      <c r="I10" s="205"/>
      <c r="J10" s="205"/>
      <c r="K10" s="205"/>
    </row>
    <row r="11" spans="1:12" s="218" customFormat="1" ht="12.75" x14ac:dyDescent="0.2">
      <c r="A11" s="239" t="s">
        <v>340</v>
      </c>
      <c r="B11" s="288"/>
      <c r="C11" s="289"/>
      <c r="D11" s="289"/>
      <c r="E11" s="289"/>
      <c r="F11" s="289"/>
      <c r="G11" s="289"/>
      <c r="H11" s="289"/>
      <c r="I11" s="289"/>
      <c r="J11" s="289"/>
      <c r="K11" s="205"/>
    </row>
    <row r="12" spans="1:12" s="218" customFormat="1" ht="12.75" x14ac:dyDescent="0.2">
      <c r="A12" s="217"/>
      <c r="B12" s="204" t="s">
        <v>341</v>
      </c>
      <c r="C12" s="349">
        <v>21</v>
      </c>
      <c r="D12" s="204" t="s">
        <v>228</v>
      </c>
      <c r="E12" s="205"/>
      <c r="F12" s="205"/>
      <c r="G12" s="205"/>
      <c r="H12" s="205"/>
      <c r="I12" s="205"/>
      <c r="J12" s="205"/>
      <c r="K12" s="205"/>
    </row>
    <row r="13" spans="1:12" s="218" customFormat="1" ht="25.5" x14ac:dyDescent="0.2">
      <c r="A13" s="205"/>
      <c r="B13" s="250" t="s">
        <v>280</v>
      </c>
      <c r="C13" s="251" t="s">
        <v>281</v>
      </c>
      <c r="D13" s="251" t="s">
        <v>282</v>
      </c>
      <c r="E13" s="251" t="s">
        <v>348</v>
      </c>
      <c r="F13" s="251" t="s">
        <v>283</v>
      </c>
      <c r="G13" s="251" t="s">
        <v>284</v>
      </c>
      <c r="H13" s="252" t="s">
        <v>285</v>
      </c>
      <c r="I13" s="252" t="s">
        <v>9</v>
      </c>
      <c r="J13" s="251" t="s">
        <v>286</v>
      </c>
      <c r="K13" s="222"/>
      <c r="L13" s="222"/>
    </row>
    <row r="14" spans="1:12" s="218" customFormat="1" ht="12.75" x14ac:dyDescent="0.2">
      <c r="A14" s="205"/>
      <c r="B14" s="253" t="s">
        <v>287</v>
      </c>
      <c r="C14" s="254">
        <v>1.3</v>
      </c>
      <c r="D14" s="255">
        <v>86</v>
      </c>
      <c r="E14" s="256">
        <f t="shared" ref="E14:E20" si="0">C14*(D14/100)</f>
        <v>1.1180000000000001</v>
      </c>
      <c r="F14" s="257">
        <f>E14*$C$12</f>
        <v>23.478000000000002</v>
      </c>
      <c r="G14" s="258">
        <f>C14*$C$12</f>
        <v>27.3</v>
      </c>
      <c r="H14" s="259">
        <v>7</v>
      </c>
      <c r="I14" s="206" t="s">
        <v>288</v>
      </c>
      <c r="J14" s="237">
        <f>G14*(H14/56)</f>
        <v>3.4125000000000001</v>
      </c>
    </row>
    <row r="15" spans="1:12" s="218" customFormat="1" ht="12.75" x14ac:dyDescent="0.2">
      <c r="A15" s="205"/>
      <c r="B15" s="253" t="s">
        <v>342</v>
      </c>
      <c r="C15" s="254"/>
      <c r="D15" s="255">
        <v>86</v>
      </c>
      <c r="E15" s="256">
        <f t="shared" si="0"/>
        <v>0</v>
      </c>
      <c r="F15" s="257">
        <f t="shared" ref="F15:F22" si="1">E15*$C$12</f>
        <v>0</v>
      </c>
      <c r="G15" s="258">
        <f t="shared" ref="G15:G20" si="2">C15*$C$12</f>
        <v>0</v>
      </c>
      <c r="H15" s="259"/>
      <c r="I15" s="206" t="s">
        <v>288</v>
      </c>
      <c r="J15" s="237">
        <f>G15*(H15/32)</f>
        <v>0</v>
      </c>
    </row>
    <row r="16" spans="1:12" s="218" customFormat="1" ht="12.75" x14ac:dyDescent="0.2">
      <c r="A16" s="205"/>
      <c r="B16" s="253"/>
      <c r="C16" s="254"/>
      <c r="D16" s="255">
        <v>92</v>
      </c>
      <c r="E16" s="256">
        <f t="shared" si="0"/>
        <v>0</v>
      </c>
      <c r="F16" s="257">
        <f t="shared" si="1"/>
        <v>0</v>
      </c>
      <c r="G16" s="258">
        <f t="shared" si="2"/>
        <v>0</v>
      </c>
      <c r="H16" s="259">
        <v>131</v>
      </c>
      <c r="I16" s="206" t="s">
        <v>289</v>
      </c>
      <c r="J16" s="237">
        <f>G16*(H16/2000)</f>
        <v>0</v>
      </c>
    </row>
    <row r="17" spans="1:13" s="218" customFormat="1" ht="12.75" x14ac:dyDescent="0.2">
      <c r="A17" s="205"/>
      <c r="B17" s="253" t="s">
        <v>290</v>
      </c>
      <c r="C17" s="254">
        <v>0.3</v>
      </c>
      <c r="D17" s="255">
        <v>92</v>
      </c>
      <c r="E17" s="256">
        <f t="shared" si="0"/>
        <v>0.27600000000000002</v>
      </c>
      <c r="F17" s="257">
        <f t="shared" si="1"/>
        <v>5.7960000000000003</v>
      </c>
      <c r="G17" s="258">
        <f t="shared" si="2"/>
        <v>6.3</v>
      </c>
      <c r="H17" s="259">
        <v>936</v>
      </c>
      <c r="I17" s="206" t="s">
        <v>289</v>
      </c>
      <c r="J17" s="237">
        <f>G17*H17/2000</f>
        <v>2.9483999999999999</v>
      </c>
    </row>
    <row r="18" spans="1:13" s="218" customFormat="1" ht="12.75" x14ac:dyDescent="0.2">
      <c r="A18" s="205"/>
      <c r="B18" s="253"/>
      <c r="C18" s="254"/>
      <c r="D18" s="255">
        <v>92</v>
      </c>
      <c r="E18" s="256">
        <f t="shared" si="0"/>
        <v>0</v>
      </c>
      <c r="F18" s="257">
        <f t="shared" si="1"/>
        <v>0</v>
      </c>
      <c r="G18" s="258">
        <f t="shared" si="2"/>
        <v>0</v>
      </c>
      <c r="H18" s="259"/>
      <c r="I18" s="206" t="s">
        <v>289</v>
      </c>
      <c r="J18" s="237">
        <f>G18*H18/2000</f>
        <v>0</v>
      </c>
    </row>
    <row r="19" spans="1:13" s="218" customFormat="1" ht="12.75" x14ac:dyDescent="0.2">
      <c r="A19" s="205"/>
      <c r="B19" s="253" t="s">
        <v>291</v>
      </c>
      <c r="C19" s="254">
        <v>0.7</v>
      </c>
      <c r="D19" s="255">
        <v>87</v>
      </c>
      <c r="E19" s="256">
        <f t="shared" si="0"/>
        <v>0.60899999999999999</v>
      </c>
      <c r="F19" s="257">
        <f t="shared" si="1"/>
        <v>12.789</v>
      </c>
      <c r="G19" s="258">
        <f t="shared" si="2"/>
        <v>14.7</v>
      </c>
      <c r="H19" s="259">
        <v>135</v>
      </c>
      <c r="I19" s="206" t="s">
        <v>289</v>
      </c>
      <c r="J19" s="237">
        <f>G19*H19/2000</f>
        <v>0.99224999999999997</v>
      </c>
    </row>
    <row r="20" spans="1:13" s="218" customFormat="1" ht="12.75" x14ac:dyDescent="0.2">
      <c r="A20" s="205"/>
      <c r="B20" s="253" t="s">
        <v>292</v>
      </c>
      <c r="C20" s="254"/>
      <c r="D20" s="255">
        <v>38</v>
      </c>
      <c r="E20" s="256">
        <f t="shared" si="0"/>
        <v>0</v>
      </c>
      <c r="F20" s="257">
        <f t="shared" si="1"/>
        <v>0</v>
      </c>
      <c r="G20" s="258">
        <f t="shared" si="2"/>
        <v>0</v>
      </c>
      <c r="H20" s="259"/>
      <c r="I20" s="206" t="s">
        <v>289</v>
      </c>
      <c r="J20" s="237">
        <f>G20*(H20/2000)</f>
        <v>0</v>
      </c>
    </row>
    <row r="21" spans="1:13" s="218" customFormat="1" ht="12.75" x14ac:dyDescent="0.2">
      <c r="A21" s="205"/>
      <c r="B21" s="260" t="s">
        <v>293</v>
      </c>
      <c r="C21" s="254">
        <v>0.18</v>
      </c>
      <c r="D21" s="255">
        <v>98</v>
      </c>
      <c r="E21" s="261">
        <f>(C21*(D21/100))/16</f>
        <v>1.1025E-2</v>
      </c>
      <c r="F21" s="262">
        <f t="shared" si="1"/>
        <v>0.23152500000000001</v>
      </c>
      <c r="G21" s="263">
        <f>(C21*$C$12)/16</f>
        <v>0.23624999999999999</v>
      </c>
      <c r="H21" s="259">
        <v>30</v>
      </c>
      <c r="I21" s="206" t="s">
        <v>294</v>
      </c>
      <c r="J21" s="237">
        <f>G21*(H21/50)</f>
        <v>0.14174999999999999</v>
      </c>
    </row>
    <row r="22" spans="1:13" s="218" customFormat="1" ht="12.75" x14ac:dyDescent="0.2">
      <c r="A22" s="205"/>
      <c r="B22" s="260" t="s">
        <v>295</v>
      </c>
      <c r="C22" s="254">
        <v>0.2</v>
      </c>
      <c r="D22" s="255">
        <v>98</v>
      </c>
      <c r="E22" s="293">
        <f>(C22*(D22/100))/16</f>
        <v>1.225E-2</v>
      </c>
      <c r="F22" s="262">
        <f t="shared" si="1"/>
        <v>0.25725000000000003</v>
      </c>
      <c r="G22" s="263">
        <f>(C22*$C$12)/16</f>
        <v>0.26250000000000001</v>
      </c>
      <c r="H22" s="259">
        <v>8</v>
      </c>
      <c r="I22" s="206" t="s">
        <v>294</v>
      </c>
      <c r="J22" s="237">
        <f>G22*(H22/50)</f>
        <v>4.2000000000000003E-2</v>
      </c>
    </row>
    <row r="23" spans="1:13" s="218" customFormat="1" ht="12.75" x14ac:dyDescent="0.2">
      <c r="A23" s="205"/>
      <c r="B23" s="204" t="s">
        <v>110</v>
      </c>
      <c r="C23" s="295">
        <f>(SUM(C14:C20))+((C21+C22)/16)</f>
        <v>2.32375</v>
      </c>
      <c r="D23" s="204"/>
      <c r="E23" s="294">
        <f>SUM(E14:E22)</f>
        <v>2.026275</v>
      </c>
      <c r="F23" s="292">
        <f>SUM(F14:F22)</f>
        <v>42.551774999999999</v>
      </c>
      <c r="G23" s="264">
        <f>SUM(G14:G22)</f>
        <v>48.798749999999998</v>
      </c>
      <c r="H23" s="204" t="s">
        <v>54</v>
      </c>
      <c r="I23" s="204"/>
      <c r="J23" s="265">
        <f>SUM(J14:J22)</f>
        <v>7.5369000000000002</v>
      </c>
    </row>
    <row r="24" spans="1:13" s="218" customFormat="1" ht="12.75" x14ac:dyDescent="0.2">
      <c r="A24" s="205"/>
      <c r="B24" s="204"/>
      <c r="C24" s="204"/>
      <c r="D24" s="204"/>
      <c r="E24" s="291"/>
      <c r="F24" s="204"/>
      <c r="G24" s="204" t="s">
        <v>235</v>
      </c>
      <c r="I24" s="204"/>
      <c r="J24" s="265">
        <f>J23/C12</f>
        <v>0.3589</v>
      </c>
    </row>
    <row r="25" spans="1:13" s="218" customFormat="1" ht="12.75" x14ac:dyDescent="0.2">
      <c r="A25" s="205"/>
      <c r="B25" s="205"/>
      <c r="C25" s="205"/>
      <c r="D25" s="205"/>
      <c r="E25" s="205"/>
      <c r="F25" s="205"/>
      <c r="G25" s="204" t="s">
        <v>297</v>
      </c>
      <c r="I25" s="205"/>
      <c r="J25" s="269">
        <f>J23/G23</f>
        <v>0.15444862829478215</v>
      </c>
    </row>
    <row r="26" spans="1:13" ht="15.75" x14ac:dyDescent="0.25">
      <c r="A26" s="207"/>
      <c r="B26" s="207"/>
      <c r="C26" s="207"/>
      <c r="D26" s="207"/>
      <c r="E26" s="207"/>
      <c r="F26" s="207"/>
      <c r="G26" s="217" t="s">
        <v>298</v>
      </c>
      <c r="I26" s="207"/>
      <c r="J26" s="268">
        <f>J23/F23</f>
        <v>0.17712304598339318</v>
      </c>
      <c r="L26" s="207"/>
      <c r="M26" s="207"/>
    </row>
    <row r="27" spans="1:13" ht="15.75" x14ac:dyDescent="0.25">
      <c r="A27" s="300" t="s">
        <v>343</v>
      </c>
      <c r="B27" s="297"/>
      <c r="C27" s="297"/>
      <c r="D27" s="297"/>
      <c r="E27" s="297"/>
      <c r="F27" s="297"/>
      <c r="G27" s="239"/>
      <c r="H27" s="298"/>
      <c r="I27" s="297"/>
      <c r="J27" s="299"/>
      <c r="L27" s="207"/>
      <c r="M27" s="207"/>
    </row>
    <row r="28" spans="1:13" x14ac:dyDescent="0.25">
      <c r="B28" s="48" t="s">
        <v>344</v>
      </c>
      <c r="C28" s="348">
        <v>102</v>
      </c>
      <c r="D28" s="48" t="s">
        <v>228</v>
      </c>
    </row>
    <row r="29" spans="1:13" s="218" customFormat="1" ht="25.5" x14ac:dyDescent="0.2">
      <c r="A29" s="205"/>
      <c r="B29" s="250" t="s">
        <v>280</v>
      </c>
      <c r="C29" s="251" t="s">
        <v>281</v>
      </c>
      <c r="D29" s="251" t="s">
        <v>282</v>
      </c>
      <c r="E29" s="251" t="s">
        <v>348</v>
      </c>
      <c r="F29" s="251" t="s">
        <v>283</v>
      </c>
      <c r="G29" s="251" t="s">
        <v>284</v>
      </c>
      <c r="H29" s="252" t="s">
        <v>285</v>
      </c>
      <c r="I29" s="252" t="s">
        <v>9</v>
      </c>
      <c r="J29" s="251" t="s">
        <v>286</v>
      </c>
      <c r="K29" s="222"/>
      <c r="L29" s="222"/>
    </row>
    <row r="30" spans="1:13" s="218" customFormat="1" ht="12.75" x14ac:dyDescent="0.2">
      <c r="A30" s="205"/>
      <c r="B30" s="253" t="s">
        <v>287</v>
      </c>
      <c r="C30" s="254">
        <v>0.5</v>
      </c>
      <c r="D30" s="255">
        <v>86</v>
      </c>
      <c r="E30" s="256">
        <f t="shared" ref="E30:E36" si="3">C30*(D30/100)</f>
        <v>0.43</v>
      </c>
      <c r="F30" s="257">
        <f>E30*$C$28</f>
        <v>43.86</v>
      </c>
      <c r="G30" s="258">
        <f>C30*$C$28</f>
        <v>51</v>
      </c>
      <c r="H30" s="259">
        <v>7</v>
      </c>
      <c r="I30" s="206" t="s">
        <v>288</v>
      </c>
      <c r="J30" s="237">
        <f>G30*(H30/56)</f>
        <v>6.375</v>
      </c>
    </row>
    <row r="31" spans="1:13" s="218" customFormat="1" ht="12.75" x14ac:dyDescent="0.2">
      <c r="A31" s="205"/>
      <c r="B31" s="253" t="s">
        <v>342</v>
      </c>
      <c r="C31" s="254"/>
      <c r="D31" s="255">
        <v>86</v>
      </c>
      <c r="E31" s="256">
        <f t="shared" si="3"/>
        <v>0</v>
      </c>
      <c r="F31" s="257">
        <f t="shared" ref="F31:F38" si="4">E31*$C$28</f>
        <v>0</v>
      </c>
      <c r="G31" s="258">
        <f t="shared" ref="G31:G36" si="5">C31*$C$28</f>
        <v>0</v>
      </c>
      <c r="H31" s="259"/>
      <c r="I31" s="206" t="s">
        <v>288</v>
      </c>
      <c r="J31" s="237">
        <f>G31*(H31/32)</f>
        <v>0</v>
      </c>
    </row>
    <row r="32" spans="1:13" s="218" customFormat="1" ht="12.75" x14ac:dyDescent="0.2">
      <c r="A32" s="205"/>
      <c r="B32" s="253"/>
      <c r="C32" s="254"/>
      <c r="D32" s="255">
        <v>92</v>
      </c>
      <c r="E32" s="256">
        <f t="shared" si="3"/>
        <v>0</v>
      </c>
      <c r="F32" s="257">
        <f t="shared" si="4"/>
        <v>0</v>
      </c>
      <c r="G32" s="258">
        <f t="shared" si="5"/>
        <v>0</v>
      </c>
      <c r="H32" s="259">
        <v>131</v>
      </c>
      <c r="I32" s="206" t="s">
        <v>289</v>
      </c>
      <c r="J32" s="237">
        <f>G32*(H32/2000)</f>
        <v>0</v>
      </c>
    </row>
    <row r="33" spans="1:13" s="218" customFormat="1" ht="12.75" x14ac:dyDescent="0.2">
      <c r="A33" s="205"/>
      <c r="B33" s="253" t="s">
        <v>290</v>
      </c>
      <c r="C33" s="254">
        <v>0.25</v>
      </c>
      <c r="D33" s="255">
        <v>92</v>
      </c>
      <c r="E33" s="256">
        <f t="shared" si="3"/>
        <v>0.23</v>
      </c>
      <c r="F33" s="257">
        <f t="shared" si="4"/>
        <v>23.46</v>
      </c>
      <c r="G33" s="258">
        <f t="shared" si="5"/>
        <v>25.5</v>
      </c>
      <c r="H33" s="259">
        <v>936</v>
      </c>
      <c r="I33" s="206" t="s">
        <v>289</v>
      </c>
      <c r="J33" s="237">
        <f>G33*H33/2000</f>
        <v>11.933999999999999</v>
      </c>
    </row>
    <row r="34" spans="1:13" s="218" customFormat="1" ht="12.75" x14ac:dyDescent="0.2">
      <c r="A34" s="205"/>
      <c r="B34" s="253"/>
      <c r="C34" s="254"/>
      <c r="D34" s="255">
        <v>92</v>
      </c>
      <c r="E34" s="256">
        <f t="shared" si="3"/>
        <v>0</v>
      </c>
      <c r="F34" s="257">
        <f t="shared" si="4"/>
        <v>0</v>
      </c>
      <c r="G34" s="258">
        <f t="shared" si="5"/>
        <v>0</v>
      </c>
      <c r="H34" s="259"/>
      <c r="I34" s="206" t="s">
        <v>289</v>
      </c>
      <c r="J34" s="237">
        <f>G34*H34/2000</f>
        <v>0</v>
      </c>
    </row>
    <row r="35" spans="1:13" s="218" customFormat="1" ht="12.75" x14ac:dyDescent="0.2">
      <c r="A35" s="205"/>
      <c r="B35" s="253" t="s">
        <v>291</v>
      </c>
      <c r="C35" s="254"/>
      <c r="D35" s="255">
        <v>87</v>
      </c>
      <c r="E35" s="256">
        <f t="shared" si="3"/>
        <v>0</v>
      </c>
      <c r="F35" s="257">
        <f t="shared" si="4"/>
        <v>0</v>
      </c>
      <c r="G35" s="258">
        <f t="shared" si="5"/>
        <v>0</v>
      </c>
      <c r="H35" s="259">
        <v>135</v>
      </c>
      <c r="I35" s="206" t="s">
        <v>289</v>
      </c>
      <c r="J35" s="237">
        <f>G35*H35/2000</f>
        <v>0</v>
      </c>
    </row>
    <row r="36" spans="1:13" s="218" customFormat="1" ht="12.75" x14ac:dyDescent="0.2">
      <c r="A36" s="205"/>
      <c r="B36" s="253" t="s">
        <v>292</v>
      </c>
      <c r="C36" s="254"/>
      <c r="D36" s="255">
        <v>38</v>
      </c>
      <c r="E36" s="256">
        <f t="shared" si="3"/>
        <v>0</v>
      </c>
      <c r="F36" s="257">
        <f t="shared" si="4"/>
        <v>0</v>
      </c>
      <c r="G36" s="258">
        <f t="shared" si="5"/>
        <v>0</v>
      </c>
      <c r="H36" s="259"/>
      <c r="I36" s="206" t="s">
        <v>289</v>
      </c>
      <c r="J36" s="237">
        <f>G36*(H36/2000)</f>
        <v>0</v>
      </c>
    </row>
    <row r="37" spans="1:13" s="218" customFormat="1" ht="12.75" x14ac:dyDescent="0.2">
      <c r="A37" s="205"/>
      <c r="B37" s="260" t="s">
        <v>293</v>
      </c>
      <c r="C37" s="254">
        <v>0.25</v>
      </c>
      <c r="D37" s="255">
        <v>98</v>
      </c>
      <c r="E37" s="261">
        <f>(C37*(D37/100))/16</f>
        <v>1.53125E-2</v>
      </c>
      <c r="F37" s="262">
        <f t="shared" si="4"/>
        <v>1.5618749999999999</v>
      </c>
      <c r="G37" s="263">
        <f>(C37*$C$28)/16</f>
        <v>1.59375</v>
      </c>
      <c r="H37" s="259">
        <v>30</v>
      </c>
      <c r="I37" s="206" t="s">
        <v>294</v>
      </c>
      <c r="J37" s="237">
        <f>G37*(H37/50)</f>
        <v>0.95624999999999993</v>
      </c>
    </row>
    <row r="38" spans="1:13" s="218" customFormat="1" ht="12.75" x14ac:dyDescent="0.2">
      <c r="A38" s="205"/>
      <c r="B38" s="260" t="s">
        <v>295</v>
      </c>
      <c r="C38" s="254">
        <v>0.27</v>
      </c>
      <c r="D38" s="255">
        <v>98</v>
      </c>
      <c r="E38" s="293">
        <f>(C38*(D38/100))/16</f>
        <v>1.65375E-2</v>
      </c>
      <c r="F38" s="262">
        <f t="shared" si="4"/>
        <v>1.686825</v>
      </c>
      <c r="G38" s="263">
        <f>(C38*$C$28)/16</f>
        <v>1.7212500000000002</v>
      </c>
      <c r="H38" s="259">
        <v>8</v>
      </c>
      <c r="I38" s="206" t="s">
        <v>294</v>
      </c>
      <c r="J38" s="237">
        <f>G38*(H38/50)</f>
        <v>0.27540000000000003</v>
      </c>
    </row>
    <row r="39" spans="1:13" s="218" customFormat="1" ht="12.75" x14ac:dyDescent="0.2">
      <c r="A39" s="205"/>
      <c r="B39" s="204" t="s">
        <v>110</v>
      </c>
      <c r="C39" s="295">
        <f>(SUM(C30:C36))+((C37+C38)/16)</f>
        <v>0.78249999999999997</v>
      </c>
      <c r="D39" s="204"/>
      <c r="E39" s="294">
        <f>SUM(E30:E38)</f>
        <v>0.69184999999999997</v>
      </c>
      <c r="F39" s="292">
        <f>SUM(F30:F38)</f>
        <v>70.568699999999993</v>
      </c>
      <c r="G39" s="264">
        <f>SUM(G30:G38)</f>
        <v>79.814999999999998</v>
      </c>
      <c r="H39" s="204" t="s">
        <v>54</v>
      </c>
      <c r="I39" s="204"/>
      <c r="J39" s="265">
        <f>SUM(J30:J38)</f>
        <v>19.540649999999999</v>
      </c>
    </row>
    <row r="40" spans="1:13" s="218" customFormat="1" ht="12.75" x14ac:dyDescent="0.2">
      <c r="A40" s="205"/>
      <c r="B40" s="204"/>
      <c r="C40" s="204"/>
      <c r="D40" s="204"/>
      <c r="E40" s="291"/>
      <c r="F40" s="204"/>
      <c r="G40" s="204" t="s">
        <v>235</v>
      </c>
      <c r="I40" s="204"/>
      <c r="J40" s="265">
        <f>J39/C28</f>
        <v>0.191575</v>
      </c>
    </row>
    <row r="41" spans="1:13" s="218" customFormat="1" ht="12.75" x14ac:dyDescent="0.2">
      <c r="A41" s="205"/>
      <c r="B41" s="205"/>
      <c r="C41" s="205"/>
      <c r="D41" s="205"/>
      <c r="E41" s="205"/>
      <c r="F41" s="205"/>
      <c r="G41" s="204" t="s">
        <v>297</v>
      </c>
      <c r="I41" s="205"/>
      <c r="J41" s="269">
        <f>J39/G39</f>
        <v>0.24482428115015975</v>
      </c>
    </row>
    <row r="42" spans="1:13" ht="15.75" x14ac:dyDescent="0.25">
      <c r="A42" s="207"/>
      <c r="B42" s="207"/>
      <c r="C42" s="207"/>
      <c r="D42" s="207"/>
      <c r="E42" s="207"/>
      <c r="F42" s="207"/>
      <c r="G42" s="217" t="s">
        <v>298</v>
      </c>
      <c r="I42" s="207"/>
      <c r="J42" s="268">
        <f>J39/F39</f>
        <v>0.27690250776902509</v>
      </c>
      <c r="L42" s="207"/>
      <c r="M42" s="207"/>
    </row>
    <row r="44" spans="1:13" x14ac:dyDescent="0.25">
      <c r="B44" s="48" t="s">
        <v>299</v>
      </c>
    </row>
    <row r="45" spans="1:13" x14ac:dyDescent="0.25">
      <c r="B45" s="278" t="s">
        <v>300</v>
      </c>
      <c r="C45" s="347">
        <v>18</v>
      </c>
    </row>
    <row r="46" spans="1:13" x14ac:dyDescent="0.25">
      <c r="B46" s="278" t="s">
        <v>301</v>
      </c>
      <c r="C46" s="348">
        <v>50</v>
      </c>
      <c r="E46" s="284" t="s">
        <v>351</v>
      </c>
      <c r="F46" s="282"/>
      <c r="G46" s="282"/>
      <c r="H46" s="282"/>
    </row>
    <row r="47" spans="1:13" x14ac:dyDescent="0.25">
      <c r="B47" s="278" t="s">
        <v>289</v>
      </c>
      <c r="C47" s="279">
        <f>(C45/C46)*2000</f>
        <v>720</v>
      </c>
      <c r="E47" s="284" t="s">
        <v>287</v>
      </c>
      <c r="F47" s="282" t="s">
        <v>302</v>
      </c>
      <c r="G47" s="282"/>
      <c r="H47" s="282"/>
    </row>
    <row r="48" spans="1:13" x14ac:dyDescent="0.25">
      <c r="B48" s="280" t="s">
        <v>303</v>
      </c>
      <c r="E48" s="284" t="s">
        <v>39</v>
      </c>
      <c r="F48" s="283" t="s">
        <v>304</v>
      </c>
      <c r="G48" s="282"/>
      <c r="H48" s="282"/>
    </row>
    <row r="49" spans="2:8" x14ac:dyDescent="0.25">
      <c r="B49" s="278" t="s">
        <v>305</v>
      </c>
      <c r="C49" s="347">
        <v>7.5</v>
      </c>
      <c r="E49" s="284" t="s">
        <v>306</v>
      </c>
      <c r="F49" s="283" t="s">
        <v>307</v>
      </c>
      <c r="G49" s="282"/>
      <c r="H49" s="282"/>
    </row>
    <row r="50" spans="2:8" x14ac:dyDescent="0.25">
      <c r="B50" s="278" t="s">
        <v>308</v>
      </c>
      <c r="C50" s="348">
        <v>56</v>
      </c>
      <c r="E50" s="284" t="s">
        <v>309</v>
      </c>
      <c r="F50" s="283" t="s">
        <v>345</v>
      </c>
      <c r="G50" s="282"/>
      <c r="H50" s="282"/>
    </row>
    <row r="51" spans="2:8" x14ac:dyDescent="0.25">
      <c r="B51" s="278" t="s">
        <v>289</v>
      </c>
      <c r="C51" s="279">
        <f>(C49/C50)*2000</f>
        <v>267.85714285714283</v>
      </c>
      <c r="E51" s="282"/>
      <c r="F51" s="282"/>
      <c r="G51" s="282"/>
      <c r="H51" s="282"/>
    </row>
    <row r="52" spans="2:8" x14ac:dyDescent="0.25">
      <c r="E52" s="282"/>
      <c r="F52" s="282"/>
      <c r="G52" s="282"/>
      <c r="H52" s="282"/>
    </row>
  </sheetData>
  <sheetProtection algorithmName="SHA-512" hashValue="36PkSs7ckvKIfiImenMbObCwTBnNdt6scAgvSUyJ6UwaPopYh0gRcKTTlur/KSdwkLfGTGwsok5EaNCtx6FqsQ==" saltValue="cgWJe5OrQ3XAcMppXWXLzg==" spinCount="100000" sheet="1" objects="1" scenarios="1"/>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2</vt:i4>
      </vt:variant>
    </vt:vector>
  </HeadingPairs>
  <TitlesOfParts>
    <vt:vector size="10" baseType="lpstr">
      <vt:lpstr>Ewe Flock Budget Directions</vt:lpstr>
      <vt:lpstr>Ewe Flock Budget</vt:lpstr>
      <vt:lpstr>DrylotLamb Finishing Directions</vt:lpstr>
      <vt:lpstr>Drylot Lamb Finishing Budget</vt:lpstr>
      <vt:lpstr>Drylot Lamb Finishing Feed Cost</vt:lpstr>
      <vt:lpstr>Pasture Lamb Finishing Directio</vt:lpstr>
      <vt:lpstr>Pasture Lamb Finishing Budget</vt:lpstr>
      <vt:lpstr>Pasture Lamb Finish Feed Cost</vt:lpstr>
      <vt:lpstr>'Drylot Lamb Finishing Budget'!Print_Area</vt:lpstr>
      <vt:lpstr>'Pasture Lamb Finishing Budget'!Print_Area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Bill Halfman</dc:creator>
  <cp:keywords/>
  <dc:description/>
  <cp:lastModifiedBy>William Halfman</cp:lastModifiedBy>
  <cp:revision/>
  <dcterms:created xsi:type="dcterms:W3CDTF">2016-09-20T17:12:57Z</dcterms:created>
  <dcterms:modified xsi:type="dcterms:W3CDTF">2025-11-18T20:02:45Z</dcterms:modified>
  <cp:category/>
  <cp:contentStatus/>
</cp:coreProperties>
</file>